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10" yWindow="45" windowWidth="1134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49" i="1" l="1"/>
  <c r="N49" i="1"/>
  <c r="P49" i="1"/>
  <c r="P50" i="1"/>
  <c r="P51" i="1"/>
  <c r="P52" i="1"/>
  <c r="P53" i="1"/>
  <c r="L50" i="1"/>
  <c r="L51" i="1"/>
  <c r="L52" i="1"/>
  <c r="L53" i="1"/>
  <c r="AA33" i="1" l="1"/>
  <c r="AC33" i="1" s="1"/>
  <c r="Z33" i="1"/>
  <c r="AB33" i="1" s="1"/>
  <c r="Z32" i="1" l="1"/>
  <c r="AB32" i="1" s="1"/>
  <c r="AA32" i="1"/>
  <c r="AC32" i="1" s="1"/>
  <c r="AA31" i="1" l="1"/>
  <c r="AC31" i="1" s="1"/>
  <c r="AA30" i="1"/>
  <c r="AC30" i="1" s="1"/>
  <c r="Z31" i="1"/>
  <c r="AB31" i="1" s="1"/>
  <c r="Z30" i="1"/>
  <c r="AB30" i="1" s="1"/>
  <c r="N53" i="1" l="1"/>
  <c r="N52" i="1"/>
  <c r="N51" i="1"/>
  <c r="N50" i="1"/>
  <c r="D21" i="1" l="1"/>
  <c r="O25" i="1" l="1"/>
  <c r="Q25" i="1" l="1"/>
  <c r="S25" i="1" s="1"/>
  <c r="U25" i="1" s="1"/>
  <c r="D37" i="1" l="1"/>
  <c r="E37" i="1"/>
  <c r="I37" i="1" s="1"/>
  <c r="F37" i="1"/>
  <c r="J37" i="1" s="1"/>
  <c r="M63" i="1" l="1"/>
  <c r="M61" i="1"/>
  <c r="M97" i="1" s="1"/>
  <c r="M133" i="1" s="1"/>
  <c r="M169" i="1" s="1"/>
  <c r="M205" i="1" s="1"/>
  <c r="M241" i="1" s="1"/>
  <c r="M277" i="1" s="1"/>
  <c r="M313" i="1" s="1"/>
  <c r="M349" i="1" s="1"/>
  <c r="M385" i="1" s="1"/>
  <c r="M99" i="1" l="1"/>
  <c r="C39" i="1"/>
  <c r="C41" i="1"/>
  <c r="M135" i="1" l="1"/>
  <c r="E42" i="1"/>
  <c r="D43" i="1"/>
  <c r="C43" i="1"/>
  <c r="E41" i="1"/>
  <c r="C42" i="1"/>
  <c r="E43" i="1"/>
  <c r="E44" i="1"/>
  <c r="M171" i="1" l="1"/>
  <c r="M207" i="1" l="1"/>
  <c r="B4" i="1"/>
  <c r="M243" i="1" l="1"/>
  <c r="K4" i="1"/>
  <c r="J4" i="1"/>
  <c r="I4" i="1"/>
  <c r="H4" i="1"/>
  <c r="G4" i="1"/>
  <c r="F4" i="1"/>
  <c r="E4" i="1"/>
  <c r="D4" i="1"/>
  <c r="C4" i="1"/>
  <c r="M279" i="1" l="1"/>
  <c r="M315" i="1" l="1"/>
  <c r="M351" i="1" l="1"/>
  <c r="F417" i="1"/>
  <c r="E417" i="1"/>
  <c r="D417" i="1"/>
  <c r="C417" i="1"/>
  <c r="F416" i="1"/>
  <c r="F415" i="1"/>
  <c r="E415" i="1"/>
  <c r="D415" i="1"/>
  <c r="F414" i="1"/>
  <c r="F413" i="1"/>
  <c r="E413" i="1"/>
  <c r="D413" i="1"/>
  <c r="F412" i="1"/>
  <c r="E412" i="1"/>
  <c r="D412" i="1"/>
  <c r="F411" i="1"/>
  <c r="E411" i="1"/>
  <c r="F410" i="1"/>
  <c r="E410" i="1"/>
  <c r="F409" i="1"/>
  <c r="E409" i="1"/>
  <c r="F381" i="1"/>
  <c r="E381" i="1"/>
  <c r="D381" i="1"/>
  <c r="C381" i="1"/>
  <c r="F380" i="1"/>
  <c r="F379" i="1"/>
  <c r="E379" i="1"/>
  <c r="D379" i="1"/>
  <c r="F377" i="1"/>
  <c r="E377" i="1"/>
  <c r="F376" i="1"/>
  <c r="E376" i="1"/>
  <c r="F375" i="1"/>
  <c r="E375" i="1"/>
  <c r="F374" i="1"/>
  <c r="E374" i="1"/>
  <c r="F373" i="1"/>
  <c r="E373" i="1"/>
  <c r="F345" i="1"/>
  <c r="E345" i="1"/>
  <c r="D345" i="1"/>
  <c r="C345" i="1"/>
  <c r="F344" i="1"/>
  <c r="F343" i="1"/>
  <c r="E343" i="1"/>
  <c r="F342" i="1"/>
  <c r="F341" i="1"/>
  <c r="E341" i="1"/>
  <c r="D341" i="1"/>
  <c r="F340" i="1"/>
  <c r="E340" i="1"/>
  <c r="D340" i="1"/>
  <c r="F339" i="1"/>
  <c r="E339" i="1"/>
  <c r="F338" i="1"/>
  <c r="E338" i="1"/>
  <c r="F337" i="1"/>
  <c r="E337" i="1"/>
  <c r="D337" i="1"/>
  <c r="F309" i="1"/>
  <c r="E309" i="1"/>
  <c r="D309" i="1"/>
  <c r="C309" i="1"/>
  <c r="F308" i="1"/>
  <c r="E308" i="1"/>
  <c r="F307" i="1"/>
  <c r="E307" i="1"/>
  <c r="F305" i="1"/>
  <c r="F304" i="1"/>
  <c r="E304" i="1"/>
  <c r="D304" i="1"/>
  <c r="F303" i="1"/>
  <c r="E303" i="1"/>
  <c r="D303" i="1"/>
  <c r="F302" i="1"/>
  <c r="E302" i="1"/>
  <c r="F301" i="1"/>
  <c r="E301" i="1"/>
  <c r="F273" i="1"/>
  <c r="E273" i="1"/>
  <c r="D273" i="1"/>
  <c r="C273" i="1"/>
  <c r="F272" i="1"/>
  <c r="E272" i="1"/>
  <c r="F271" i="1"/>
  <c r="E271" i="1"/>
  <c r="F270" i="1"/>
  <c r="E270" i="1"/>
  <c r="F269" i="1"/>
  <c r="E269" i="1"/>
  <c r="D269" i="1"/>
  <c r="F268" i="1"/>
  <c r="E268" i="1"/>
  <c r="D268" i="1"/>
  <c r="F267" i="1"/>
  <c r="E267" i="1"/>
  <c r="F266" i="1"/>
  <c r="E266" i="1"/>
  <c r="F265" i="1"/>
  <c r="F237" i="1"/>
  <c r="E237" i="1"/>
  <c r="D237" i="1"/>
  <c r="C237" i="1"/>
  <c r="F236" i="1"/>
  <c r="F235" i="1"/>
  <c r="E235" i="1"/>
  <c r="D235" i="1"/>
  <c r="F234" i="1"/>
  <c r="F233" i="1"/>
  <c r="F232" i="1"/>
  <c r="E232" i="1"/>
  <c r="D232" i="1"/>
  <c r="F231" i="1"/>
  <c r="E231" i="1"/>
  <c r="F230" i="1"/>
  <c r="E230" i="1"/>
  <c r="F229" i="1"/>
  <c r="E229" i="1"/>
  <c r="F201" i="1"/>
  <c r="E201" i="1"/>
  <c r="D201" i="1"/>
  <c r="C201" i="1"/>
  <c r="F200" i="1"/>
  <c r="E200" i="1"/>
  <c r="F199" i="1"/>
  <c r="E199" i="1"/>
  <c r="F198" i="1"/>
  <c r="E198" i="1"/>
  <c r="F197" i="1"/>
  <c r="E197" i="1"/>
  <c r="F196" i="1"/>
  <c r="E196" i="1"/>
  <c r="D196" i="1"/>
  <c r="F195" i="1"/>
  <c r="F194" i="1"/>
  <c r="E194" i="1"/>
  <c r="F193" i="1"/>
  <c r="E193" i="1"/>
  <c r="F165" i="1"/>
  <c r="E165" i="1"/>
  <c r="D165" i="1"/>
  <c r="C165" i="1"/>
  <c r="F164" i="1"/>
  <c r="F163" i="1"/>
  <c r="E163" i="1"/>
  <c r="D163" i="1"/>
  <c r="F162" i="1"/>
  <c r="F161" i="1"/>
  <c r="F160" i="1"/>
  <c r="E160" i="1"/>
  <c r="F159" i="1"/>
  <c r="E159" i="1"/>
  <c r="F158" i="1"/>
  <c r="E158" i="1"/>
  <c r="F157" i="1"/>
  <c r="E157" i="1"/>
  <c r="D157" i="1"/>
  <c r="F129" i="1"/>
  <c r="E129" i="1"/>
  <c r="D129" i="1"/>
  <c r="C129" i="1"/>
  <c r="F128" i="1"/>
  <c r="F127" i="1"/>
  <c r="F124" i="1"/>
  <c r="E124" i="1"/>
  <c r="D124" i="1"/>
  <c r="F123" i="1"/>
  <c r="F122" i="1"/>
  <c r="E122" i="1"/>
  <c r="F121" i="1"/>
  <c r="E121" i="1"/>
  <c r="F93" i="1"/>
  <c r="E93" i="1"/>
  <c r="F89" i="1"/>
  <c r="E89" i="1"/>
  <c r="F88" i="1"/>
  <c r="E88" i="1"/>
  <c r="D88" i="1"/>
  <c r="F87" i="1"/>
  <c r="F85" i="1"/>
  <c r="E85" i="1"/>
  <c r="D85" i="1"/>
  <c r="M387" i="1" l="1"/>
  <c r="C37" i="1"/>
  <c r="Z87" i="1"/>
  <c r="Z123" i="1" s="1"/>
  <c r="AB87" i="1"/>
  <c r="AB123" i="1" s="1"/>
  <c r="AB159" i="1" l="1"/>
  <c r="Z159" i="1"/>
  <c r="E38" i="1"/>
  <c r="AB195" i="1" l="1"/>
  <c r="Z195" i="1"/>
  <c r="R405" i="1"/>
  <c r="Q405" i="1"/>
  <c r="P405" i="1"/>
  <c r="O405" i="1"/>
  <c r="N405" i="1"/>
  <c r="M405" i="1"/>
  <c r="L405" i="1"/>
  <c r="K405" i="1"/>
  <c r="R404" i="1"/>
  <c r="N404" i="1"/>
  <c r="R403" i="1"/>
  <c r="Q403" i="1"/>
  <c r="P403" i="1"/>
  <c r="N403" i="1"/>
  <c r="M403" i="1"/>
  <c r="L403" i="1"/>
  <c r="R402" i="1"/>
  <c r="N402" i="1"/>
  <c r="R369" i="1"/>
  <c r="Q369" i="1"/>
  <c r="P369" i="1"/>
  <c r="O369" i="1"/>
  <c r="N369" i="1"/>
  <c r="M369" i="1"/>
  <c r="L369" i="1"/>
  <c r="K369" i="1"/>
  <c r="R368" i="1"/>
  <c r="N368" i="1"/>
  <c r="R367" i="1"/>
  <c r="Q367" i="1"/>
  <c r="P367" i="1"/>
  <c r="N367" i="1"/>
  <c r="M367" i="1"/>
  <c r="L367" i="1"/>
  <c r="R333" i="1"/>
  <c r="Q333" i="1"/>
  <c r="P333" i="1"/>
  <c r="O333" i="1"/>
  <c r="N333" i="1"/>
  <c r="M333" i="1"/>
  <c r="L333" i="1"/>
  <c r="K333" i="1"/>
  <c r="R332" i="1"/>
  <c r="N332" i="1"/>
  <c r="R331" i="1"/>
  <c r="Q331" i="1"/>
  <c r="N331" i="1"/>
  <c r="M331" i="1"/>
  <c r="R330" i="1"/>
  <c r="N330" i="1"/>
  <c r="R297" i="1"/>
  <c r="Q297" i="1"/>
  <c r="P297" i="1"/>
  <c r="O297" i="1"/>
  <c r="N297" i="1"/>
  <c r="M297" i="1"/>
  <c r="L297" i="1"/>
  <c r="K297" i="1"/>
  <c r="R296" i="1"/>
  <c r="Q296" i="1"/>
  <c r="N296" i="1"/>
  <c r="M296" i="1"/>
  <c r="R295" i="1"/>
  <c r="Q295" i="1"/>
  <c r="N295" i="1"/>
  <c r="M295" i="1"/>
  <c r="R261" i="1"/>
  <c r="Q261" i="1"/>
  <c r="P261" i="1"/>
  <c r="O261" i="1"/>
  <c r="N261" i="1"/>
  <c r="M261" i="1"/>
  <c r="L261" i="1"/>
  <c r="K261" i="1"/>
  <c r="R260" i="1"/>
  <c r="Q260" i="1"/>
  <c r="N260" i="1"/>
  <c r="M260" i="1"/>
  <c r="R259" i="1"/>
  <c r="Q259" i="1"/>
  <c r="N259" i="1"/>
  <c r="M259" i="1"/>
  <c r="R258" i="1"/>
  <c r="Q258" i="1"/>
  <c r="N258" i="1"/>
  <c r="M258" i="1"/>
  <c r="R225" i="1"/>
  <c r="Q225" i="1"/>
  <c r="P225" i="1"/>
  <c r="O225" i="1"/>
  <c r="N225" i="1"/>
  <c r="M225" i="1"/>
  <c r="L225" i="1"/>
  <c r="K225" i="1"/>
  <c r="R224" i="1"/>
  <c r="N224" i="1"/>
  <c r="R223" i="1"/>
  <c r="Q223" i="1"/>
  <c r="P223" i="1"/>
  <c r="N223" i="1"/>
  <c r="M223" i="1"/>
  <c r="L223" i="1"/>
  <c r="R222" i="1"/>
  <c r="N222" i="1"/>
  <c r="R189" i="1"/>
  <c r="Q189" i="1"/>
  <c r="P189" i="1"/>
  <c r="O189" i="1"/>
  <c r="N189" i="1"/>
  <c r="M189" i="1"/>
  <c r="L189" i="1"/>
  <c r="K189" i="1"/>
  <c r="R188" i="1"/>
  <c r="Q188" i="1"/>
  <c r="N188" i="1"/>
  <c r="M188" i="1"/>
  <c r="R187" i="1"/>
  <c r="Q187" i="1"/>
  <c r="N187" i="1"/>
  <c r="M187" i="1"/>
  <c r="R186" i="1"/>
  <c r="Q186" i="1"/>
  <c r="N186" i="1"/>
  <c r="M186" i="1"/>
  <c r="R153" i="1"/>
  <c r="Q153" i="1"/>
  <c r="P153" i="1"/>
  <c r="O153" i="1"/>
  <c r="N153" i="1"/>
  <c r="M153" i="1"/>
  <c r="L153" i="1"/>
  <c r="K153" i="1"/>
  <c r="R152" i="1"/>
  <c r="N152" i="1"/>
  <c r="R151" i="1"/>
  <c r="Q151" i="1"/>
  <c r="P151" i="1"/>
  <c r="N151" i="1"/>
  <c r="M151" i="1"/>
  <c r="L151" i="1"/>
  <c r="R150" i="1"/>
  <c r="N150" i="1"/>
  <c r="R117" i="1"/>
  <c r="Q117" i="1"/>
  <c r="P117" i="1"/>
  <c r="O117" i="1"/>
  <c r="N117" i="1"/>
  <c r="M117" i="1"/>
  <c r="L117" i="1"/>
  <c r="K117" i="1"/>
  <c r="R116" i="1"/>
  <c r="N116" i="1"/>
  <c r="R115" i="1"/>
  <c r="N115" i="1"/>
  <c r="AB231" i="1" l="1"/>
  <c r="Z231" i="1"/>
  <c r="F43" i="1"/>
  <c r="AB267" i="1" l="1"/>
  <c r="Z267" i="1"/>
  <c r="J43" i="1"/>
  <c r="N43" i="1" s="1"/>
  <c r="F55" i="1" s="1"/>
  <c r="I43" i="1"/>
  <c r="Q43" i="1" s="1"/>
  <c r="G43" i="1"/>
  <c r="O43" i="1" s="1"/>
  <c r="H43" i="1"/>
  <c r="P43" i="1" s="1"/>
  <c r="X242" i="1"/>
  <c r="K63" i="1"/>
  <c r="I63" i="1"/>
  <c r="G63" i="1"/>
  <c r="E63" i="1"/>
  <c r="C63" i="1"/>
  <c r="X386" i="1"/>
  <c r="X350" i="1"/>
  <c r="X314" i="1"/>
  <c r="X278" i="1"/>
  <c r="X206" i="1"/>
  <c r="X170" i="1"/>
  <c r="X134" i="1"/>
  <c r="X98" i="1"/>
  <c r="X62" i="1"/>
  <c r="R43" i="1" l="1"/>
  <c r="Z78" i="1"/>
  <c r="Z77" i="1"/>
  <c r="Z76" i="1"/>
  <c r="M43" i="1"/>
  <c r="E55" i="1" s="1"/>
  <c r="Z70" i="1"/>
  <c r="Z71" i="1"/>
  <c r="Z72" i="1"/>
  <c r="AB303" i="1"/>
  <c r="Z303" i="1"/>
  <c r="Z75" i="1"/>
  <c r="Z73" i="1"/>
  <c r="Z74" i="1"/>
  <c r="Z69" i="1"/>
  <c r="K43" i="1"/>
  <c r="C55" i="1" s="1"/>
  <c r="L43" i="1"/>
  <c r="D55" i="1" s="1"/>
  <c r="N401" i="1"/>
  <c r="M401" i="1"/>
  <c r="N400" i="1"/>
  <c r="M400" i="1"/>
  <c r="L400" i="1"/>
  <c r="N399" i="1"/>
  <c r="M399" i="1"/>
  <c r="N398" i="1"/>
  <c r="M398" i="1"/>
  <c r="N397" i="1"/>
  <c r="M397" i="1"/>
  <c r="N365" i="1"/>
  <c r="M365" i="1"/>
  <c r="N364" i="1"/>
  <c r="M364" i="1"/>
  <c r="N363" i="1"/>
  <c r="M363" i="1"/>
  <c r="N362" i="1"/>
  <c r="M362" i="1"/>
  <c r="N361" i="1"/>
  <c r="M361" i="1"/>
  <c r="N329" i="1"/>
  <c r="M329" i="1"/>
  <c r="N328" i="1"/>
  <c r="M328" i="1"/>
  <c r="L328" i="1"/>
  <c r="N327" i="1"/>
  <c r="M327" i="1"/>
  <c r="N326" i="1"/>
  <c r="M326" i="1"/>
  <c r="N325" i="1"/>
  <c r="M325" i="1"/>
  <c r="L325" i="1"/>
  <c r="N293" i="1"/>
  <c r="N292" i="1"/>
  <c r="M292" i="1"/>
  <c r="L292" i="1"/>
  <c r="N291" i="1"/>
  <c r="M291" i="1"/>
  <c r="L291" i="1"/>
  <c r="N290" i="1"/>
  <c r="M290" i="1"/>
  <c r="N289" i="1"/>
  <c r="M289" i="1"/>
  <c r="H273" i="1"/>
  <c r="N257" i="1"/>
  <c r="M257" i="1"/>
  <c r="L257" i="1"/>
  <c r="N256" i="1"/>
  <c r="M256" i="1"/>
  <c r="L256" i="1"/>
  <c r="N255" i="1"/>
  <c r="M255" i="1"/>
  <c r="N254" i="1"/>
  <c r="M254" i="1"/>
  <c r="N253" i="1"/>
  <c r="H237" i="1"/>
  <c r="N221" i="1"/>
  <c r="N220" i="1"/>
  <c r="M220" i="1"/>
  <c r="L220" i="1"/>
  <c r="N219" i="1"/>
  <c r="M219" i="1"/>
  <c r="N218" i="1"/>
  <c r="M218" i="1"/>
  <c r="N217" i="1"/>
  <c r="M217" i="1"/>
  <c r="N185" i="1"/>
  <c r="M185" i="1"/>
  <c r="N184" i="1"/>
  <c r="M184" i="1"/>
  <c r="L184" i="1"/>
  <c r="N183" i="1"/>
  <c r="N182" i="1"/>
  <c r="M182" i="1"/>
  <c r="N181" i="1"/>
  <c r="M181" i="1"/>
  <c r="H165" i="1"/>
  <c r="N149" i="1"/>
  <c r="N148" i="1"/>
  <c r="M148" i="1"/>
  <c r="N147" i="1"/>
  <c r="M147" i="1"/>
  <c r="N146" i="1"/>
  <c r="M146" i="1"/>
  <c r="N145" i="1"/>
  <c r="M145" i="1"/>
  <c r="L145" i="1"/>
  <c r="N112" i="1"/>
  <c r="M112" i="1"/>
  <c r="L112" i="1"/>
  <c r="N111" i="1"/>
  <c r="N110" i="1"/>
  <c r="M110" i="1"/>
  <c r="N109" i="1"/>
  <c r="M109" i="1"/>
  <c r="N81" i="1"/>
  <c r="M81" i="1"/>
  <c r="N77" i="1"/>
  <c r="M77" i="1"/>
  <c r="N76" i="1"/>
  <c r="M76" i="1"/>
  <c r="L76" i="1"/>
  <c r="N75" i="1"/>
  <c r="N73" i="1"/>
  <c r="M73" i="1"/>
  <c r="L73" i="1"/>
  <c r="R401" i="1"/>
  <c r="Q401" i="1"/>
  <c r="R400" i="1"/>
  <c r="Q400" i="1"/>
  <c r="P400" i="1"/>
  <c r="R399" i="1"/>
  <c r="Q399" i="1"/>
  <c r="R398" i="1"/>
  <c r="Q398" i="1"/>
  <c r="R397" i="1"/>
  <c r="Q397" i="1"/>
  <c r="R365" i="1"/>
  <c r="Q365" i="1"/>
  <c r="R364" i="1"/>
  <c r="Q364" i="1"/>
  <c r="R363" i="1"/>
  <c r="Q363" i="1"/>
  <c r="R362" i="1"/>
  <c r="Q362" i="1"/>
  <c r="R361" i="1"/>
  <c r="Q361" i="1"/>
  <c r="R329" i="1"/>
  <c r="Q329" i="1"/>
  <c r="R328" i="1"/>
  <c r="Q328" i="1"/>
  <c r="P328" i="1"/>
  <c r="R327" i="1"/>
  <c r="Q327" i="1"/>
  <c r="R326" i="1"/>
  <c r="Q326" i="1"/>
  <c r="R325" i="1"/>
  <c r="Q325" i="1"/>
  <c r="P325" i="1"/>
  <c r="R293" i="1"/>
  <c r="R292" i="1"/>
  <c r="Q292" i="1"/>
  <c r="P292" i="1"/>
  <c r="R291" i="1"/>
  <c r="Q291" i="1"/>
  <c r="P291" i="1"/>
  <c r="R290" i="1"/>
  <c r="Q290" i="1"/>
  <c r="R289" i="1"/>
  <c r="Q289" i="1"/>
  <c r="R257" i="1"/>
  <c r="Q257" i="1"/>
  <c r="P257" i="1"/>
  <c r="R256" i="1"/>
  <c r="Q256" i="1"/>
  <c r="P256" i="1"/>
  <c r="R255" i="1"/>
  <c r="Q255" i="1"/>
  <c r="R254" i="1"/>
  <c r="Q254" i="1"/>
  <c r="R253" i="1"/>
  <c r="R221" i="1"/>
  <c r="R220" i="1"/>
  <c r="Q220" i="1"/>
  <c r="P220" i="1"/>
  <c r="R219" i="1"/>
  <c r="Q219" i="1"/>
  <c r="R218" i="1"/>
  <c r="Q218" i="1"/>
  <c r="R217" i="1"/>
  <c r="Q217" i="1"/>
  <c r="R185" i="1"/>
  <c r="Q185" i="1"/>
  <c r="R184" i="1"/>
  <c r="Q184" i="1"/>
  <c r="P184" i="1"/>
  <c r="R183" i="1"/>
  <c r="R182" i="1"/>
  <c r="Q182" i="1"/>
  <c r="R181" i="1"/>
  <c r="Q181" i="1"/>
  <c r="R149" i="1"/>
  <c r="R148" i="1"/>
  <c r="Q148" i="1"/>
  <c r="R147" i="1"/>
  <c r="Q147" i="1"/>
  <c r="R146" i="1"/>
  <c r="Q146" i="1"/>
  <c r="R145" i="1"/>
  <c r="Q145" i="1"/>
  <c r="P145" i="1"/>
  <c r="R112" i="1"/>
  <c r="Q112" i="1"/>
  <c r="P112" i="1"/>
  <c r="R111" i="1"/>
  <c r="R110" i="1"/>
  <c r="Q110" i="1"/>
  <c r="R109" i="1"/>
  <c r="Q109" i="1"/>
  <c r="P76" i="1"/>
  <c r="R76" i="1"/>
  <c r="R81" i="1"/>
  <c r="Q81" i="1"/>
  <c r="R77" i="1"/>
  <c r="Q77" i="1"/>
  <c r="Q76" i="1"/>
  <c r="R75" i="1"/>
  <c r="R73" i="1"/>
  <c r="Q73" i="1"/>
  <c r="P73" i="1"/>
  <c r="AB339" i="1" l="1"/>
  <c r="Z339" i="1"/>
  <c r="H129" i="1"/>
  <c r="H201" i="1"/>
  <c r="H417" i="1"/>
  <c r="H309" i="1"/>
  <c r="H345" i="1"/>
  <c r="H381" i="1"/>
  <c r="H55" i="1"/>
  <c r="C45" i="1"/>
  <c r="D45" i="1"/>
  <c r="AB375" i="1" l="1"/>
  <c r="Z375" i="1"/>
  <c r="G45" i="1"/>
  <c r="K45" i="1" s="1"/>
  <c r="C57" i="1" s="1"/>
  <c r="F45" i="1"/>
  <c r="E45" i="1"/>
  <c r="H45" i="1"/>
  <c r="P45" i="1" s="1"/>
  <c r="C44" i="1"/>
  <c r="AB411" i="1" l="1"/>
  <c r="Z411" i="1"/>
  <c r="M45" i="1"/>
  <c r="E57" i="1"/>
  <c r="N45" i="1"/>
  <c r="F57" i="1"/>
  <c r="L45" i="1"/>
  <c r="D57" i="1" s="1"/>
  <c r="G44" i="1"/>
  <c r="K44" i="1" s="1"/>
  <c r="C56" i="1" s="1"/>
  <c r="J45" i="1"/>
  <c r="R45" i="1"/>
  <c r="I45" i="1"/>
  <c r="Q45" i="1"/>
  <c r="O45" i="1"/>
  <c r="D44" i="1"/>
  <c r="F44" i="1"/>
  <c r="D42" i="1"/>
  <c r="F42" i="1"/>
  <c r="C38" i="1"/>
  <c r="D38" i="1"/>
  <c r="F38" i="1"/>
  <c r="D39" i="1"/>
  <c r="E39" i="1"/>
  <c r="F39" i="1"/>
  <c r="C40" i="1"/>
  <c r="D40" i="1"/>
  <c r="E40" i="1"/>
  <c r="E52" i="1" s="1"/>
  <c r="F40" i="1"/>
  <c r="F52" i="1" s="1"/>
  <c r="D41" i="1"/>
  <c r="F41" i="1"/>
  <c r="F49" i="1"/>
  <c r="J39" i="1" l="1"/>
  <c r="F51" i="1"/>
  <c r="R37" i="1"/>
  <c r="N37" i="1"/>
  <c r="R40" i="1"/>
  <c r="N40" i="1"/>
  <c r="R39" i="1"/>
  <c r="N39" i="1"/>
  <c r="Q40" i="1"/>
  <c r="M40" i="1"/>
  <c r="O44" i="1"/>
  <c r="H57" i="1"/>
  <c r="N393" i="1" l="1"/>
  <c r="L393" i="1"/>
  <c r="J393" i="1"/>
  <c r="H393" i="1"/>
  <c r="F393" i="1"/>
  <c r="N392" i="1"/>
  <c r="L392" i="1"/>
  <c r="J392" i="1"/>
  <c r="H392" i="1"/>
  <c r="F392" i="1"/>
  <c r="L391" i="1"/>
  <c r="N357" i="1"/>
  <c r="L357" i="1"/>
  <c r="J357" i="1"/>
  <c r="H357" i="1"/>
  <c r="F357" i="1"/>
  <c r="N356" i="1"/>
  <c r="L356" i="1"/>
  <c r="J356" i="1"/>
  <c r="H356" i="1"/>
  <c r="F356" i="1"/>
  <c r="N321" i="1"/>
  <c r="L321" i="1"/>
  <c r="J321" i="1"/>
  <c r="H321" i="1"/>
  <c r="F321" i="1"/>
  <c r="N320" i="1"/>
  <c r="L320" i="1"/>
  <c r="J320" i="1"/>
  <c r="H320" i="1"/>
  <c r="F320" i="1"/>
  <c r="L319" i="1"/>
  <c r="F319" i="1"/>
  <c r="N285" i="1"/>
  <c r="L285" i="1"/>
  <c r="J285" i="1"/>
  <c r="H285" i="1"/>
  <c r="F285" i="1"/>
  <c r="L284" i="1"/>
  <c r="J284" i="1"/>
  <c r="H284" i="1"/>
  <c r="F284" i="1"/>
  <c r="L283" i="1"/>
  <c r="J283" i="1"/>
  <c r="N249" i="1"/>
  <c r="L249" i="1"/>
  <c r="J249" i="1"/>
  <c r="H249" i="1"/>
  <c r="F249" i="1"/>
  <c r="N248" i="1"/>
  <c r="L248" i="1"/>
  <c r="J248" i="1"/>
  <c r="H248" i="1"/>
  <c r="F248" i="1"/>
  <c r="N247" i="1"/>
  <c r="L247" i="1"/>
  <c r="N213" i="1"/>
  <c r="L213" i="1"/>
  <c r="J213" i="1"/>
  <c r="H213" i="1"/>
  <c r="F213" i="1"/>
  <c r="L212" i="1"/>
  <c r="J212" i="1"/>
  <c r="H212" i="1"/>
  <c r="F212" i="1"/>
  <c r="L211" i="1"/>
  <c r="N177" i="1"/>
  <c r="L177" i="1"/>
  <c r="J177" i="1"/>
  <c r="H177" i="1"/>
  <c r="F177" i="1"/>
  <c r="N176" i="1"/>
  <c r="L176" i="1"/>
  <c r="H176" i="1"/>
  <c r="F176" i="1"/>
  <c r="L175" i="1"/>
  <c r="N141" i="1"/>
  <c r="L141" i="1"/>
  <c r="J141" i="1"/>
  <c r="H141" i="1"/>
  <c r="F141" i="1"/>
  <c r="N140" i="1"/>
  <c r="L140" i="1"/>
  <c r="J140" i="1"/>
  <c r="H140" i="1"/>
  <c r="F140" i="1"/>
  <c r="F139" i="1"/>
  <c r="L105" i="1"/>
  <c r="J105" i="1"/>
  <c r="H105" i="1"/>
  <c r="F105" i="1"/>
  <c r="L104" i="1"/>
  <c r="H104" i="1"/>
  <c r="F104" i="1"/>
  <c r="L103" i="1"/>
  <c r="N69" i="1"/>
  <c r="L69" i="1"/>
  <c r="F69" i="1"/>
  <c r="N68" i="1"/>
  <c r="L68" i="1"/>
  <c r="F68" i="1"/>
  <c r="L67" i="1"/>
  <c r="F67" i="1"/>
  <c r="K99" i="1"/>
  <c r="I99" i="1"/>
  <c r="G99" i="1"/>
  <c r="E99" i="1"/>
  <c r="E135" i="1" s="1"/>
  <c r="E171" i="1" s="1"/>
  <c r="E207" i="1" s="1"/>
  <c r="E243" i="1" s="1"/>
  <c r="E279" i="1" s="1"/>
  <c r="E315" i="1" s="1"/>
  <c r="E351" i="1" s="1"/>
  <c r="E387" i="1" s="1"/>
  <c r="K61" i="1"/>
  <c r="I61" i="1"/>
  <c r="G61" i="1"/>
  <c r="E61" i="1"/>
  <c r="G78" i="1" s="1"/>
  <c r="O78" i="1" s="1"/>
  <c r="C61" i="1"/>
  <c r="C97" i="1" s="1"/>
  <c r="C133" i="1" s="1"/>
  <c r="C169" i="1" s="1"/>
  <c r="C205" i="1" s="1"/>
  <c r="C241" i="1" s="1"/>
  <c r="C277" i="1" s="1"/>
  <c r="C313" i="1" s="1"/>
  <c r="C349" i="1" s="1"/>
  <c r="C385" i="1" s="1"/>
  <c r="J44" i="1"/>
  <c r="I44" i="1"/>
  <c r="H44" i="1"/>
  <c r="L44" i="1" s="1"/>
  <c r="D56" i="1" s="1"/>
  <c r="J42" i="1"/>
  <c r="I42" i="1"/>
  <c r="H42" i="1"/>
  <c r="L42" i="1" s="1"/>
  <c r="D54" i="1" s="1"/>
  <c r="G42" i="1"/>
  <c r="K42" i="1" s="1"/>
  <c r="C54" i="1" s="1"/>
  <c r="J41" i="1"/>
  <c r="J40" i="1"/>
  <c r="I40" i="1"/>
  <c r="N33" i="1"/>
  <c r="L33" i="1"/>
  <c r="F33" i="1"/>
  <c r="L32" i="1"/>
  <c r="F32" i="1"/>
  <c r="N29" i="1"/>
  <c r="N30" i="1" s="1"/>
  <c r="L29" i="1"/>
  <c r="L30" i="1" s="1"/>
  <c r="J29" i="1"/>
  <c r="H29" i="1"/>
  <c r="F29" i="1"/>
  <c r="D29" i="1"/>
  <c r="A34" i="1"/>
  <c r="R41" i="1" l="1"/>
  <c r="N41" i="1"/>
  <c r="F53" i="1" s="1"/>
  <c r="AD33" i="1"/>
  <c r="I39" i="1"/>
  <c r="AD32" i="1"/>
  <c r="AD30" i="1"/>
  <c r="H37" i="1"/>
  <c r="P37" i="1" s="1"/>
  <c r="AD31" i="1"/>
  <c r="G41" i="1"/>
  <c r="K41" i="1" s="1"/>
  <c r="C53" i="1" s="1"/>
  <c r="R32" i="1"/>
  <c r="S27" i="1" s="1"/>
  <c r="R33" i="1"/>
  <c r="U27" i="1" s="1"/>
  <c r="R30" i="1"/>
  <c r="O27" i="1" s="1"/>
  <c r="R31" i="1"/>
  <c r="Q27" i="1" s="1"/>
  <c r="Z114" i="1"/>
  <c r="N32" i="1"/>
  <c r="I41" i="1"/>
  <c r="Q41" i="1" s="1"/>
  <c r="Q37" i="1"/>
  <c r="M37" i="1"/>
  <c r="E49" i="1" s="1"/>
  <c r="R44" i="1"/>
  <c r="N44" i="1"/>
  <c r="F56" i="1" s="1"/>
  <c r="R42" i="1"/>
  <c r="N42" i="1"/>
  <c r="F54" i="1" s="1"/>
  <c r="G135" i="1"/>
  <c r="I135" i="1"/>
  <c r="K135" i="1"/>
  <c r="Q44" i="1"/>
  <c r="M44" i="1"/>
  <c r="E56" i="1" s="1"/>
  <c r="Q42" i="1"/>
  <c r="M42" i="1"/>
  <c r="E54" i="1" s="1"/>
  <c r="I79" i="1"/>
  <c r="G79" i="1"/>
  <c r="O79" i="1" s="1"/>
  <c r="J79" i="1"/>
  <c r="H79" i="1"/>
  <c r="G97" i="1"/>
  <c r="K97" i="1"/>
  <c r="E97" i="1"/>
  <c r="E133" i="1" s="1"/>
  <c r="J81" i="1"/>
  <c r="H81" i="1"/>
  <c r="J80" i="1"/>
  <c r="H80" i="1"/>
  <c r="P80" i="1" s="1"/>
  <c r="J78" i="1"/>
  <c r="H78" i="1"/>
  <c r="P78" i="1" s="1"/>
  <c r="I81" i="1"/>
  <c r="G81" i="1"/>
  <c r="O81" i="1" s="1"/>
  <c r="I80" i="1"/>
  <c r="G80" i="1"/>
  <c r="I78" i="1"/>
  <c r="I97" i="1"/>
  <c r="I133" i="1" s="1"/>
  <c r="I169" i="1" s="1"/>
  <c r="I205" i="1" s="1"/>
  <c r="I241" i="1" s="1"/>
  <c r="I277" i="1" s="1"/>
  <c r="I313" i="1" s="1"/>
  <c r="I349" i="1" s="1"/>
  <c r="I385" i="1" s="1"/>
  <c r="P42" i="1"/>
  <c r="O42" i="1"/>
  <c r="P44" i="1"/>
  <c r="C99" i="1"/>
  <c r="A70" i="1"/>
  <c r="H39" i="1"/>
  <c r="H40" i="1"/>
  <c r="L31" i="1"/>
  <c r="H41" i="1"/>
  <c r="N31" i="1"/>
  <c r="I38" i="1"/>
  <c r="Q38" i="1" s="1"/>
  <c r="H32" i="1"/>
  <c r="H33" i="1"/>
  <c r="J38" i="1"/>
  <c r="R38" i="1" s="1"/>
  <c r="J33" i="1"/>
  <c r="J32" i="1"/>
  <c r="J31" i="1"/>
  <c r="J65" i="1"/>
  <c r="J101" i="1"/>
  <c r="J30" i="1"/>
  <c r="H65" i="1"/>
  <c r="G75" i="1" s="1"/>
  <c r="N65" i="1"/>
  <c r="H101" i="1"/>
  <c r="J104" i="1" s="1"/>
  <c r="N101" i="1"/>
  <c r="G39" i="1"/>
  <c r="K39" i="1" s="1"/>
  <c r="H31" i="1"/>
  <c r="G38" i="1"/>
  <c r="H30" i="1"/>
  <c r="H38" i="1"/>
  <c r="F65" i="1"/>
  <c r="G74" i="1" s="1"/>
  <c r="F101" i="1"/>
  <c r="H102" i="1" s="1"/>
  <c r="F30" i="1"/>
  <c r="G37" i="1"/>
  <c r="G40" i="1"/>
  <c r="I73" i="1"/>
  <c r="I76" i="1"/>
  <c r="I77" i="1"/>
  <c r="F31" i="1"/>
  <c r="D65" i="1"/>
  <c r="F66" i="1" s="1"/>
  <c r="L65" i="1"/>
  <c r="L66" i="1" s="1"/>
  <c r="H73" i="1"/>
  <c r="J73" i="1"/>
  <c r="J75" i="1"/>
  <c r="H76" i="1"/>
  <c r="J76" i="1"/>
  <c r="H77" i="1"/>
  <c r="J77" i="1"/>
  <c r="N104" i="1" l="1"/>
  <c r="N105" i="1"/>
  <c r="N66" i="1"/>
  <c r="N67" i="1"/>
  <c r="I75" i="1"/>
  <c r="M75" i="1" s="1"/>
  <c r="O41" i="1"/>
  <c r="L37" i="1"/>
  <c r="D49" i="1" s="1"/>
  <c r="N102" i="1"/>
  <c r="N103" i="1"/>
  <c r="L77" i="1"/>
  <c r="D89" i="1" s="1"/>
  <c r="P77" i="1"/>
  <c r="N79" i="1"/>
  <c r="F91" i="1" s="1"/>
  <c r="R79" i="1"/>
  <c r="N137" i="1"/>
  <c r="N139" i="1" s="1"/>
  <c r="Z150" i="1"/>
  <c r="Z111" i="1"/>
  <c r="Z113" i="1"/>
  <c r="Z112" i="1"/>
  <c r="M41" i="1"/>
  <c r="E53" i="1" s="1"/>
  <c r="N80" i="1"/>
  <c r="F92" i="1" s="1"/>
  <c r="R80" i="1"/>
  <c r="Q79" i="1"/>
  <c r="M79" i="1"/>
  <c r="E91" i="1" s="1"/>
  <c r="M80" i="1"/>
  <c r="E92" i="1" s="1"/>
  <c r="Q80" i="1"/>
  <c r="C51" i="1"/>
  <c r="F137" i="1"/>
  <c r="H139" i="1" s="1"/>
  <c r="H137" i="1"/>
  <c r="J138" i="1" s="1"/>
  <c r="R78" i="1"/>
  <c r="N78" i="1"/>
  <c r="F90" i="1" s="1"/>
  <c r="Z105" i="1"/>
  <c r="Z110" i="1"/>
  <c r="Z109" i="1"/>
  <c r="Z106" i="1"/>
  <c r="Z108" i="1"/>
  <c r="Z107" i="1"/>
  <c r="K171" i="1"/>
  <c r="I54" i="1"/>
  <c r="C135" i="1"/>
  <c r="J146" i="1" s="1"/>
  <c r="L38" i="1"/>
  <c r="D50" i="1" s="1"/>
  <c r="P38" i="1"/>
  <c r="J137" i="1"/>
  <c r="G171" i="1"/>
  <c r="I171" i="1"/>
  <c r="L81" i="1"/>
  <c r="D93" i="1" s="1"/>
  <c r="P81" i="1"/>
  <c r="K207" i="1"/>
  <c r="L101" i="1"/>
  <c r="L102" i="1" s="1"/>
  <c r="Q78" i="1"/>
  <c r="M78" i="1"/>
  <c r="E90" i="1" s="1"/>
  <c r="L79" i="1"/>
  <c r="D91" i="1" s="1"/>
  <c r="P79" i="1"/>
  <c r="J74" i="1"/>
  <c r="R74" i="1" s="1"/>
  <c r="I109" i="1"/>
  <c r="J111" i="1"/>
  <c r="J112" i="1"/>
  <c r="I147" i="1"/>
  <c r="J109" i="1"/>
  <c r="H113" i="1"/>
  <c r="I111" i="1"/>
  <c r="G111" i="1"/>
  <c r="O111" i="1" s="1"/>
  <c r="I115" i="1"/>
  <c r="G115" i="1"/>
  <c r="J115" i="1"/>
  <c r="H115" i="1"/>
  <c r="J153" i="1"/>
  <c r="H153" i="1"/>
  <c r="J152" i="1"/>
  <c r="H152" i="1"/>
  <c r="J150" i="1"/>
  <c r="H150" i="1"/>
  <c r="I153" i="1"/>
  <c r="G153" i="1"/>
  <c r="I152" i="1"/>
  <c r="G152" i="1"/>
  <c r="I150" i="1"/>
  <c r="G150" i="1"/>
  <c r="J117" i="1"/>
  <c r="H117" i="1"/>
  <c r="H116" i="1"/>
  <c r="I117" i="1"/>
  <c r="G117" i="1"/>
  <c r="I116" i="1"/>
  <c r="G116" i="1"/>
  <c r="I114" i="1"/>
  <c r="G114" i="1"/>
  <c r="J116" i="1"/>
  <c r="J114" i="1"/>
  <c r="H114" i="1"/>
  <c r="L40" i="1"/>
  <c r="D52" i="1" s="1"/>
  <c r="P40" i="1"/>
  <c r="M39" i="1"/>
  <c r="E51" i="1" s="1"/>
  <c r="Q39" i="1"/>
  <c r="P41" i="1"/>
  <c r="L41" i="1"/>
  <c r="K79" i="1"/>
  <c r="C91" i="1" s="1"/>
  <c r="H54" i="1"/>
  <c r="H75" i="1"/>
  <c r="P75" i="1" s="1"/>
  <c r="A106" i="1"/>
  <c r="K78" i="1"/>
  <c r="C90" i="1" s="1"/>
  <c r="K133" i="1"/>
  <c r="L80" i="1"/>
  <c r="D92" i="1" s="1"/>
  <c r="O80" i="1"/>
  <c r="K81" i="1"/>
  <c r="C93" i="1" s="1"/>
  <c r="L78" i="1"/>
  <c r="D90" i="1" s="1"/>
  <c r="K80" i="1"/>
  <c r="C92" i="1" s="1"/>
  <c r="G133" i="1"/>
  <c r="D101" i="1"/>
  <c r="J110" i="1"/>
  <c r="I112" i="1"/>
  <c r="J113" i="1"/>
  <c r="I110" i="1"/>
  <c r="H112" i="1"/>
  <c r="I113" i="1"/>
  <c r="K75" i="1"/>
  <c r="O75" i="1"/>
  <c r="K74" i="1"/>
  <c r="O74" i="1"/>
  <c r="O37" i="1"/>
  <c r="T37" i="1" s="1"/>
  <c r="K37" i="1"/>
  <c r="C49" i="1" s="1"/>
  <c r="O38" i="1"/>
  <c r="K38" i="1"/>
  <c r="C50" i="1" s="1"/>
  <c r="N38" i="1"/>
  <c r="F50" i="1" s="1"/>
  <c r="P39" i="1"/>
  <c r="L39" i="1"/>
  <c r="D51" i="1" s="1"/>
  <c r="O40" i="1"/>
  <c r="K40" i="1"/>
  <c r="C52" i="1" s="1"/>
  <c r="M38" i="1"/>
  <c r="E50" i="1" s="1"/>
  <c r="O39" i="1"/>
  <c r="E169" i="1"/>
  <c r="H56" i="1"/>
  <c r="H103" i="1"/>
  <c r="H111" i="1"/>
  <c r="G77" i="1"/>
  <c r="I74" i="1"/>
  <c r="H74" i="1"/>
  <c r="G113" i="1"/>
  <c r="J102" i="1"/>
  <c r="J103" i="1"/>
  <c r="J69" i="1"/>
  <c r="J68" i="1"/>
  <c r="J67" i="1"/>
  <c r="J66" i="1"/>
  <c r="G110" i="1"/>
  <c r="H110" i="1"/>
  <c r="H69" i="1"/>
  <c r="H67" i="1"/>
  <c r="H66" i="1"/>
  <c r="H68" i="1"/>
  <c r="G76" i="1"/>
  <c r="G73" i="1"/>
  <c r="Q75" i="1" l="1"/>
  <c r="S75" i="1" s="1"/>
  <c r="E87" i="1"/>
  <c r="R113" i="1"/>
  <c r="N113" i="1"/>
  <c r="F125" i="1" s="1"/>
  <c r="M113" i="1"/>
  <c r="E125" i="1" s="1"/>
  <c r="Q113" i="1"/>
  <c r="N138" i="1"/>
  <c r="I145" i="1"/>
  <c r="K111" i="1"/>
  <c r="C123" i="1" s="1"/>
  <c r="C171" i="1"/>
  <c r="Z185" i="1" s="1"/>
  <c r="M111" i="1"/>
  <c r="E123" i="1" s="1"/>
  <c r="Q111" i="1"/>
  <c r="P113" i="1"/>
  <c r="L113" i="1"/>
  <c r="D125" i="1" s="1"/>
  <c r="Z186" i="1"/>
  <c r="H138" i="1"/>
  <c r="Z147" i="1"/>
  <c r="Z149" i="1"/>
  <c r="Z148" i="1"/>
  <c r="J148" i="1"/>
  <c r="I146" i="1"/>
  <c r="L137" i="1"/>
  <c r="L139" i="1" s="1"/>
  <c r="H147" i="1"/>
  <c r="P147" i="1" s="1"/>
  <c r="G149" i="1"/>
  <c r="K149" i="1" s="1"/>
  <c r="N74" i="1"/>
  <c r="F86" i="1" s="1"/>
  <c r="G147" i="1"/>
  <c r="O147" i="1" s="1"/>
  <c r="J139" i="1"/>
  <c r="H146" i="1"/>
  <c r="P146" i="1" s="1"/>
  <c r="J147" i="1"/>
  <c r="H145" i="1"/>
  <c r="I148" i="1"/>
  <c r="A142" i="1"/>
  <c r="I149" i="1"/>
  <c r="J145" i="1"/>
  <c r="J149" i="1"/>
  <c r="D137" i="1"/>
  <c r="H149" i="1"/>
  <c r="P149" i="1" s="1"/>
  <c r="G146" i="1"/>
  <c r="O146" i="1" s="1"/>
  <c r="M115" i="1"/>
  <c r="E127" i="1" s="1"/>
  <c r="Q115" i="1"/>
  <c r="Q116" i="1"/>
  <c r="M116" i="1"/>
  <c r="E128" i="1" s="1"/>
  <c r="Q114" i="1"/>
  <c r="M114" i="1"/>
  <c r="E126" i="1" s="1"/>
  <c r="P115" i="1"/>
  <c r="L115" i="1"/>
  <c r="D127" i="1" s="1"/>
  <c r="R114" i="1"/>
  <c r="N114" i="1"/>
  <c r="F126" i="1" s="1"/>
  <c r="Z141" i="1"/>
  <c r="Z146" i="1"/>
  <c r="Z145" i="1"/>
  <c r="Z142" i="1"/>
  <c r="Z144" i="1"/>
  <c r="Z143" i="1"/>
  <c r="I52" i="1"/>
  <c r="T38" i="1"/>
  <c r="J173" i="1"/>
  <c r="C87" i="1"/>
  <c r="C86" i="1"/>
  <c r="D53" i="1"/>
  <c r="H53" i="1" s="1"/>
  <c r="H92" i="1"/>
  <c r="G207" i="1"/>
  <c r="F173" i="1"/>
  <c r="N173" i="1"/>
  <c r="I207" i="1"/>
  <c r="H173" i="1"/>
  <c r="K243" i="1"/>
  <c r="H93" i="1"/>
  <c r="H91" i="1"/>
  <c r="I151" i="1"/>
  <c r="G151" i="1"/>
  <c r="J151" i="1"/>
  <c r="H151" i="1"/>
  <c r="O115" i="1"/>
  <c r="K115" i="1"/>
  <c r="C127" i="1" s="1"/>
  <c r="I189" i="1"/>
  <c r="G189" i="1"/>
  <c r="I188" i="1"/>
  <c r="G188" i="1"/>
  <c r="I186" i="1"/>
  <c r="G186" i="1"/>
  <c r="J189" i="1"/>
  <c r="H189" i="1"/>
  <c r="J188" i="1"/>
  <c r="H188" i="1"/>
  <c r="J186" i="1"/>
  <c r="H186" i="1"/>
  <c r="P114" i="1"/>
  <c r="L114" i="1"/>
  <c r="D126" i="1" s="1"/>
  <c r="O150" i="1"/>
  <c r="K150" i="1"/>
  <c r="C162" i="1" s="1"/>
  <c r="O152" i="1"/>
  <c r="K152" i="1"/>
  <c r="C164" i="1" s="1"/>
  <c r="P150" i="1"/>
  <c r="L150" i="1"/>
  <c r="D162" i="1" s="1"/>
  <c r="P152" i="1"/>
  <c r="L152" i="1"/>
  <c r="D164" i="1" s="1"/>
  <c r="O114" i="1"/>
  <c r="K114" i="1"/>
  <c r="C126" i="1" s="1"/>
  <c r="O116" i="1"/>
  <c r="K116" i="1"/>
  <c r="C128" i="1" s="1"/>
  <c r="P116" i="1"/>
  <c r="L116" i="1"/>
  <c r="D128" i="1" s="1"/>
  <c r="Q150" i="1"/>
  <c r="M150" i="1"/>
  <c r="E162" i="1" s="1"/>
  <c r="Q152" i="1"/>
  <c r="M152" i="1"/>
  <c r="E164" i="1" s="1"/>
  <c r="L75" i="1"/>
  <c r="D87" i="1" s="1"/>
  <c r="I90" i="1"/>
  <c r="H90" i="1"/>
  <c r="S40" i="1"/>
  <c r="S37" i="1"/>
  <c r="G49" i="1" s="1"/>
  <c r="T40" i="1"/>
  <c r="G169" i="1"/>
  <c r="K169" i="1"/>
  <c r="G112" i="1"/>
  <c r="F102" i="1"/>
  <c r="G109" i="1"/>
  <c r="F103" i="1"/>
  <c r="H109" i="1"/>
  <c r="K76" i="1"/>
  <c r="O76" i="1"/>
  <c r="K73" i="1"/>
  <c r="O73" i="1"/>
  <c r="L110" i="1"/>
  <c r="D122" i="1" s="1"/>
  <c r="P110" i="1"/>
  <c r="M74" i="1"/>
  <c r="E86" i="1" s="1"/>
  <c r="Q74" i="1"/>
  <c r="K110" i="1"/>
  <c r="C122" i="1" s="1"/>
  <c r="O110" i="1"/>
  <c r="K113" i="1"/>
  <c r="O113" i="1"/>
  <c r="L74" i="1"/>
  <c r="D86" i="1" s="1"/>
  <c r="P74" i="1"/>
  <c r="K77" i="1"/>
  <c r="O77" i="1"/>
  <c r="L111" i="1"/>
  <c r="D123" i="1" s="1"/>
  <c r="P111" i="1"/>
  <c r="T75" i="1"/>
  <c r="T39" i="1"/>
  <c r="E205" i="1"/>
  <c r="H52" i="1"/>
  <c r="H50" i="1"/>
  <c r="S38" i="1"/>
  <c r="H51" i="1"/>
  <c r="T41" i="1"/>
  <c r="S41" i="1"/>
  <c r="S39" i="1"/>
  <c r="H49" i="1"/>
  <c r="J182" i="1" l="1"/>
  <c r="O49" i="1"/>
  <c r="M49" i="1"/>
  <c r="K49" i="1"/>
  <c r="I184" i="1"/>
  <c r="J183" i="1"/>
  <c r="D173" i="1"/>
  <c r="G181" i="1" s="1"/>
  <c r="K181" i="1" s="1"/>
  <c r="I185" i="1"/>
  <c r="C207" i="1"/>
  <c r="Z221" i="1" s="1"/>
  <c r="G183" i="1"/>
  <c r="K183" i="1" s="1"/>
  <c r="Z177" i="1"/>
  <c r="C161" i="1"/>
  <c r="Z179" i="1"/>
  <c r="Z182" i="1"/>
  <c r="Z183" i="1"/>
  <c r="L147" i="1"/>
  <c r="D159" i="1" s="1"/>
  <c r="H184" i="1"/>
  <c r="I182" i="1"/>
  <c r="J185" i="1"/>
  <c r="J181" i="1"/>
  <c r="I181" i="1"/>
  <c r="A178" i="1"/>
  <c r="L173" i="1"/>
  <c r="L174" i="1" s="1"/>
  <c r="J184" i="1"/>
  <c r="G182" i="1"/>
  <c r="O182" i="1" s="1"/>
  <c r="Z180" i="1"/>
  <c r="Z181" i="1"/>
  <c r="Z178" i="1"/>
  <c r="Z184" i="1"/>
  <c r="T111" i="1"/>
  <c r="H185" i="1"/>
  <c r="L185" i="1" s="1"/>
  <c r="N174" i="1"/>
  <c r="N175" i="1"/>
  <c r="M149" i="1"/>
  <c r="E161" i="1" s="1"/>
  <c r="Q149" i="1"/>
  <c r="K146" i="1"/>
  <c r="C158" i="1" s="1"/>
  <c r="L146" i="1"/>
  <c r="D158" i="1" s="1"/>
  <c r="O149" i="1"/>
  <c r="L138" i="1"/>
  <c r="Z222" i="1"/>
  <c r="K147" i="1"/>
  <c r="C159" i="1" s="1"/>
  <c r="G185" i="1"/>
  <c r="K185" i="1" s="1"/>
  <c r="L149" i="1"/>
  <c r="D161" i="1" s="1"/>
  <c r="F138" i="1"/>
  <c r="H148" i="1"/>
  <c r="G145" i="1"/>
  <c r="G148" i="1"/>
  <c r="G53" i="1"/>
  <c r="H183" i="1"/>
  <c r="L183" i="1" s="1"/>
  <c r="Z213" i="1"/>
  <c r="H182" i="1"/>
  <c r="P182" i="1" s="1"/>
  <c r="I218" i="1"/>
  <c r="G50" i="1"/>
  <c r="I53" i="1"/>
  <c r="C88" i="1"/>
  <c r="H88" i="1" s="1"/>
  <c r="C89" i="1"/>
  <c r="H89" i="1" s="1"/>
  <c r="C125" i="1"/>
  <c r="H125" i="1" s="1"/>
  <c r="C85" i="1"/>
  <c r="H85" i="1" s="1"/>
  <c r="I51" i="1"/>
  <c r="H174" i="1"/>
  <c r="H175" i="1"/>
  <c r="G243" i="1"/>
  <c r="N209" i="1"/>
  <c r="F209" i="1"/>
  <c r="H221" i="1" s="1"/>
  <c r="J175" i="1"/>
  <c r="J174" i="1"/>
  <c r="J176" i="1"/>
  <c r="I183" i="1"/>
  <c r="M183" i="1" s="1"/>
  <c r="I243" i="1"/>
  <c r="H209" i="1"/>
  <c r="G219" i="1" s="1"/>
  <c r="K219" i="1" s="1"/>
  <c r="J209" i="1"/>
  <c r="K279" i="1"/>
  <c r="R89" i="1"/>
  <c r="B11" i="1" s="1"/>
  <c r="G52" i="1"/>
  <c r="H127" i="1"/>
  <c r="I88" i="1"/>
  <c r="I187" i="1"/>
  <c r="G187" i="1"/>
  <c r="J187" i="1"/>
  <c r="H187" i="1"/>
  <c r="K151" i="1"/>
  <c r="C163" i="1" s="1"/>
  <c r="O151" i="1"/>
  <c r="P186" i="1"/>
  <c r="L186" i="1"/>
  <c r="D198" i="1" s="1"/>
  <c r="P188" i="1"/>
  <c r="L188" i="1"/>
  <c r="D200" i="1" s="1"/>
  <c r="O186" i="1"/>
  <c r="K186" i="1"/>
  <c r="C198" i="1" s="1"/>
  <c r="O188" i="1"/>
  <c r="K188" i="1"/>
  <c r="C200" i="1" s="1"/>
  <c r="I225" i="1"/>
  <c r="G225" i="1"/>
  <c r="I224" i="1"/>
  <c r="G224" i="1"/>
  <c r="I222" i="1"/>
  <c r="G222" i="1"/>
  <c r="J225" i="1"/>
  <c r="H225" i="1"/>
  <c r="J224" i="1"/>
  <c r="H224" i="1"/>
  <c r="J222" i="1"/>
  <c r="H222" i="1"/>
  <c r="G87" i="1"/>
  <c r="R86" i="1"/>
  <c r="Z66" i="1" s="1"/>
  <c r="H126" i="1"/>
  <c r="I126" i="1"/>
  <c r="H164" i="1"/>
  <c r="H162" i="1"/>
  <c r="H128" i="1"/>
  <c r="T147" i="1"/>
  <c r="I219" i="1"/>
  <c r="J220" i="1"/>
  <c r="K205" i="1"/>
  <c r="G205" i="1"/>
  <c r="P109" i="1"/>
  <c r="L109" i="1"/>
  <c r="D121" i="1" s="1"/>
  <c r="O109" i="1"/>
  <c r="K109" i="1"/>
  <c r="C121" i="1" s="1"/>
  <c r="O112" i="1"/>
  <c r="I124" i="1" s="1"/>
  <c r="K112" i="1"/>
  <c r="T74" i="1"/>
  <c r="H122" i="1"/>
  <c r="F174" i="1"/>
  <c r="S111" i="1"/>
  <c r="S74" i="1"/>
  <c r="S147" i="1"/>
  <c r="T73" i="1"/>
  <c r="G85" i="1"/>
  <c r="S73" i="1"/>
  <c r="H86" i="1"/>
  <c r="T77" i="1"/>
  <c r="S77" i="1"/>
  <c r="T113" i="1"/>
  <c r="S113" i="1"/>
  <c r="T110" i="1"/>
  <c r="S110" i="1"/>
  <c r="S146" i="1"/>
  <c r="T146" i="1"/>
  <c r="G88" i="1"/>
  <c r="T76" i="1"/>
  <c r="S76" i="1"/>
  <c r="H87" i="1"/>
  <c r="E241" i="1"/>
  <c r="H123" i="1"/>
  <c r="G51" i="1"/>
  <c r="G89" i="1" l="1"/>
  <c r="M89" i="1" s="1"/>
  <c r="O85" i="1"/>
  <c r="M85" i="1"/>
  <c r="K85" i="1"/>
  <c r="M88" i="1"/>
  <c r="O88" i="1"/>
  <c r="K88" i="1"/>
  <c r="O87" i="1"/>
  <c r="M87" i="1"/>
  <c r="K87" i="1"/>
  <c r="O89" i="1"/>
  <c r="K51" i="1"/>
  <c r="O51" i="1"/>
  <c r="M51" i="1"/>
  <c r="K50" i="1"/>
  <c r="O50" i="1"/>
  <c r="M50" i="1"/>
  <c r="K52" i="1"/>
  <c r="O52" i="1"/>
  <c r="M52" i="1"/>
  <c r="K53" i="1"/>
  <c r="O53" i="1"/>
  <c r="M53" i="1"/>
  <c r="Z215" i="1"/>
  <c r="Z214" i="1"/>
  <c r="K182" i="1"/>
  <c r="C194" i="1" s="1"/>
  <c r="C243" i="1"/>
  <c r="Z255" i="1" s="1"/>
  <c r="O181" i="1"/>
  <c r="F175" i="1"/>
  <c r="J218" i="1"/>
  <c r="D209" i="1"/>
  <c r="G217" i="1" s="1"/>
  <c r="K217" i="1" s="1"/>
  <c r="Z218" i="1"/>
  <c r="Z220" i="1"/>
  <c r="O183" i="1"/>
  <c r="A214" i="1"/>
  <c r="H181" i="1"/>
  <c r="L181" i="1" s="1"/>
  <c r="G184" i="1"/>
  <c r="K184" i="1" s="1"/>
  <c r="C196" i="1" s="1"/>
  <c r="H196" i="1" s="1"/>
  <c r="J219" i="1"/>
  <c r="J217" i="1"/>
  <c r="I217" i="1"/>
  <c r="J221" i="1"/>
  <c r="H220" i="1"/>
  <c r="I220" i="1"/>
  <c r="L209" i="1"/>
  <c r="L210" i="1" s="1"/>
  <c r="Z216" i="1"/>
  <c r="Z217" i="1"/>
  <c r="Z219" i="1"/>
  <c r="C195" i="1"/>
  <c r="I221" i="1"/>
  <c r="M221" i="1" s="1"/>
  <c r="H161" i="1"/>
  <c r="P221" i="1"/>
  <c r="L221" i="1"/>
  <c r="N210" i="1"/>
  <c r="N212" i="1"/>
  <c r="N211" i="1"/>
  <c r="B19" i="1"/>
  <c r="C17" i="1"/>
  <c r="C15" i="1"/>
  <c r="C21" i="1"/>
  <c r="B17" i="1"/>
  <c r="B15" i="1"/>
  <c r="B13" i="1"/>
  <c r="B21" i="1"/>
  <c r="H159" i="1"/>
  <c r="G123" i="1"/>
  <c r="P185" i="1"/>
  <c r="T149" i="1"/>
  <c r="B12" i="1"/>
  <c r="B18" i="1"/>
  <c r="B16" i="1"/>
  <c r="D197" i="1"/>
  <c r="C197" i="1"/>
  <c r="G125" i="1"/>
  <c r="S149" i="1"/>
  <c r="H158" i="1"/>
  <c r="Z258" i="1"/>
  <c r="O185" i="1"/>
  <c r="Z250" i="1"/>
  <c r="L182" i="1"/>
  <c r="D194" i="1" s="1"/>
  <c r="F210" i="1"/>
  <c r="P183" i="1"/>
  <c r="L148" i="1"/>
  <c r="D160" i="1" s="1"/>
  <c r="P148" i="1"/>
  <c r="K148" i="1"/>
  <c r="C160" i="1" s="1"/>
  <c r="O148" i="1"/>
  <c r="O145" i="1"/>
  <c r="K145" i="1"/>
  <c r="C157" i="1" s="1"/>
  <c r="H157" i="1" s="1"/>
  <c r="D195" i="1"/>
  <c r="Q183" i="1"/>
  <c r="Z251" i="1"/>
  <c r="I89" i="1"/>
  <c r="Z252" i="1"/>
  <c r="E195" i="1"/>
  <c r="I87" i="1"/>
  <c r="B22" i="1" s="1"/>
  <c r="P187" i="1"/>
  <c r="L187" i="1"/>
  <c r="D199" i="1" s="1"/>
  <c r="C193" i="1"/>
  <c r="C124" i="1"/>
  <c r="H124" i="1" s="1"/>
  <c r="G221" i="1"/>
  <c r="H218" i="1"/>
  <c r="G218" i="1"/>
  <c r="H211" i="1"/>
  <c r="H210" i="1"/>
  <c r="G279" i="1"/>
  <c r="N245" i="1"/>
  <c r="N246" i="1" s="1"/>
  <c r="F245" i="1"/>
  <c r="I279" i="1"/>
  <c r="H245" i="1"/>
  <c r="J245" i="1"/>
  <c r="H219" i="1"/>
  <c r="J210" i="1"/>
  <c r="C231" i="1" s="1"/>
  <c r="J211" i="1"/>
  <c r="K315" i="1"/>
  <c r="I162" i="1"/>
  <c r="R158" i="1" s="1"/>
  <c r="Z138" i="1" s="1"/>
  <c r="I223" i="1"/>
  <c r="G223" i="1"/>
  <c r="J223" i="1"/>
  <c r="H223" i="1"/>
  <c r="O187" i="1"/>
  <c r="K187" i="1"/>
  <c r="C199" i="1" s="1"/>
  <c r="I261" i="1"/>
  <c r="G261" i="1"/>
  <c r="I260" i="1"/>
  <c r="G260" i="1"/>
  <c r="I258" i="1"/>
  <c r="G258" i="1"/>
  <c r="J261" i="1"/>
  <c r="H261" i="1"/>
  <c r="J260" i="1"/>
  <c r="H260" i="1"/>
  <c r="J258" i="1"/>
  <c r="H258" i="1"/>
  <c r="R122" i="1"/>
  <c r="Z102" i="1" s="1"/>
  <c r="R125" i="1"/>
  <c r="C11" i="1" s="1"/>
  <c r="Q222" i="1"/>
  <c r="M222" i="1"/>
  <c r="E234" i="1" s="1"/>
  <c r="Q224" i="1"/>
  <c r="M224" i="1"/>
  <c r="E236" i="1" s="1"/>
  <c r="P222" i="1"/>
  <c r="L222" i="1"/>
  <c r="D234" i="1" s="1"/>
  <c r="P224" i="1"/>
  <c r="L224" i="1"/>
  <c r="D236" i="1" s="1"/>
  <c r="O222" i="1"/>
  <c r="K222" i="1"/>
  <c r="C234" i="1" s="1"/>
  <c r="O224" i="1"/>
  <c r="K224" i="1"/>
  <c r="C236" i="1" s="1"/>
  <c r="B9" i="1"/>
  <c r="O219" i="1"/>
  <c r="G86" i="1"/>
  <c r="H198" i="1"/>
  <c r="H256" i="1"/>
  <c r="H200" i="1"/>
  <c r="L245" i="1"/>
  <c r="L246" i="1" s="1"/>
  <c r="J254" i="1"/>
  <c r="G159" i="1"/>
  <c r="G158" i="1"/>
  <c r="K241" i="1"/>
  <c r="G241" i="1"/>
  <c r="T112" i="1"/>
  <c r="S112" i="1"/>
  <c r="G124" i="1"/>
  <c r="S109" i="1"/>
  <c r="T109" i="1"/>
  <c r="H121" i="1"/>
  <c r="G122" i="1"/>
  <c r="T182" i="1"/>
  <c r="S182" i="1"/>
  <c r="E277" i="1"/>
  <c r="B20" i="1" l="1"/>
  <c r="K89" i="1"/>
  <c r="A250" i="1"/>
  <c r="D245" i="1"/>
  <c r="G253" i="1" s="1"/>
  <c r="K253" i="1" s="1"/>
  <c r="G220" i="1"/>
  <c r="O220" i="1" s="1"/>
  <c r="O54" i="1"/>
  <c r="O122" i="1"/>
  <c r="M122" i="1"/>
  <c r="K122" i="1"/>
  <c r="O158" i="1"/>
  <c r="M158" i="1"/>
  <c r="K158" i="1"/>
  <c r="O86" i="1"/>
  <c r="M86" i="1"/>
  <c r="K86" i="1"/>
  <c r="O159" i="1"/>
  <c r="M159" i="1"/>
  <c r="K159" i="1"/>
  <c r="M123" i="1"/>
  <c r="O123" i="1"/>
  <c r="K123" i="1"/>
  <c r="O124" i="1"/>
  <c r="M124" i="1"/>
  <c r="K124" i="1"/>
  <c r="M125" i="1"/>
  <c r="O125" i="1"/>
  <c r="K125" i="1"/>
  <c r="S183" i="1"/>
  <c r="C229" i="1"/>
  <c r="J256" i="1"/>
  <c r="I255" i="1"/>
  <c r="I257" i="1"/>
  <c r="I254" i="1"/>
  <c r="Z257" i="1"/>
  <c r="C279" i="1"/>
  <c r="D281" i="1" s="1"/>
  <c r="G292" i="1" s="1"/>
  <c r="J255" i="1"/>
  <c r="J253" i="1"/>
  <c r="I253" i="1"/>
  <c r="H257" i="1"/>
  <c r="I256" i="1"/>
  <c r="J257" i="1"/>
  <c r="F211" i="1"/>
  <c r="G255" i="1"/>
  <c r="O255" i="1" s="1"/>
  <c r="G254" i="1"/>
  <c r="O254" i="1" s="1"/>
  <c r="O217" i="1"/>
  <c r="H217" i="1"/>
  <c r="P217" i="1" s="1"/>
  <c r="Z249" i="1"/>
  <c r="Z254" i="1"/>
  <c r="Z253" i="1"/>
  <c r="Z256" i="1"/>
  <c r="D193" i="1"/>
  <c r="H193" i="1" s="1"/>
  <c r="P181" i="1"/>
  <c r="T181" i="1" s="1"/>
  <c r="O184" i="1"/>
  <c r="G196" i="1" s="1"/>
  <c r="K54" i="1"/>
  <c r="E233" i="1"/>
  <c r="Q221" i="1"/>
  <c r="D233" i="1"/>
  <c r="M54" i="1"/>
  <c r="C19" i="1"/>
  <c r="E19" i="1"/>
  <c r="C13" i="1"/>
  <c r="M90" i="1"/>
  <c r="D13" i="1"/>
  <c r="O90" i="1"/>
  <c r="D15" i="1"/>
  <c r="C20" i="1"/>
  <c r="D17" i="1"/>
  <c r="C16" i="1"/>
  <c r="T185" i="1"/>
  <c r="G161" i="1"/>
  <c r="D14" i="1"/>
  <c r="D16" i="1"/>
  <c r="H195" i="1"/>
  <c r="C18" i="1"/>
  <c r="B14" i="1"/>
  <c r="C14" i="1"/>
  <c r="H197" i="1"/>
  <c r="T183" i="1"/>
  <c r="Z294" i="1"/>
  <c r="H254" i="1"/>
  <c r="K220" i="1"/>
  <c r="C232" i="1" s="1"/>
  <c r="H232" i="1" s="1"/>
  <c r="S185" i="1"/>
  <c r="G257" i="1"/>
  <c r="K257" i="1" s="1"/>
  <c r="C269" i="1" s="1"/>
  <c r="H269" i="1" s="1"/>
  <c r="H194" i="1"/>
  <c r="R90" i="1"/>
  <c r="R85" i="1"/>
  <c r="I125" i="1"/>
  <c r="S148" i="1"/>
  <c r="I160" i="1"/>
  <c r="T148" i="1"/>
  <c r="G160" i="1" s="1"/>
  <c r="S145" i="1"/>
  <c r="T145" i="1"/>
  <c r="G157" i="1"/>
  <c r="I161" i="1"/>
  <c r="H160" i="1"/>
  <c r="I159" i="1"/>
  <c r="R159" i="1" s="1"/>
  <c r="M253" i="1"/>
  <c r="E265" i="1" s="1"/>
  <c r="Q253" i="1"/>
  <c r="I197" i="1"/>
  <c r="I195" i="1"/>
  <c r="E22" i="1" s="1"/>
  <c r="R87" i="1"/>
  <c r="R88" i="1"/>
  <c r="B10" i="1" s="1"/>
  <c r="H255" i="1"/>
  <c r="L255" i="1" s="1"/>
  <c r="Z291" i="1"/>
  <c r="Z288" i="1"/>
  <c r="I123" i="1"/>
  <c r="C22" i="1" s="1"/>
  <c r="R161" i="1"/>
  <c r="D11" i="1" s="1"/>
  <c r="G315" i="1"/>
  <c r="F281" i="1"/>
  <c r="H283" i="1" s="1"/>
  <c r="N281" i="1"/>
  <c r="N284" i="1" s="1"/>
  <c r="P218" i="1"/>
  <c r="L218" i="1"/>
  <c r="D230" i="1" s="1"/>
  <c r="H247" i="1"/>
  <c r="H246" i="1"/>
  <c r="O218" i="1"/>
  <c r="K218" i="1"/>
  <c r="C230" i="1" s="1"/>
  <c r="K221" i="1"/>
  <c r="O221" i="1"/>
  <c r="I315" i="1"/>
  <c r="J281" i="1"/>
  <c r="H281" i="1"/>
  <c r="J282" i="1" s="1"/>
  <c r="P219" i="1"/>
  <c r="T219" i="1" s="1"/>
  <c r="L219" i="1"/>
  <c r="J246" i="1"/>
  <c r="J247" i="1"/>
  <c r="K351" i="1"/>
  <c r="H163" i="1"/>
  <c r="I198" i="1"/>
  <c r="R194" i="1" s="1"/>
  <c r="Z174" i="1" s="1"/>
  <c r="C9" i="1"/>
  <c r="I259" i="1"/>
  <c r="G259" i="1"/>
  <c r="J259" i="1"/>
  <c r="H259" i="1"/>
  <c r="O223" i="1"/>
  <c r="K223" i="1"/>
  <c r="C235" i="1" s="1"/>
  <c r="I297" i="1"/>
  <c r="G297" i="1"/>
  <c r="I296" i="1"/>
  <c r="G296" i="1"/>
  <c r="I294" i="1"/>
  <c r="G294" i="1"/>
  <c r="J297" i="1"/>
  <c r="H297" i="1"/>
  <c r="J296" i="1"/>
  <c r="H296" i="1"/>
  <c r="J294" i="1"/>
  <c r="H294" i="1"/>
  <c r="P258" i="1"/>
  <c r="L258" i="1"/>
  <c r="D270" i="1" s="1"/>
  <c r="P260" i="1"/>
  <c r="L260" i="1"/>
  <c r="D272" i="1" s="1"/>
  <c r="O258" i="1"/>
  <c r="K258" i="1"/>
  <c r="C270" i="1" s="1"/>
  <c r="O260" i="1"/>
  <c r="K260" i="1"/>
  <c r="C272" i="1" s="1"/>
  <c r="J292" i="1"/>
  <c r="H234" i="1"/>
  <c r="H236" i="1"/>
  <c r="F246" i="1"/>
  <c r="C265" i="1" s="1"/>
  <c r="I289" i="1"/>
  <c r="D9" i="1"/>
  <c r="G277" i="1"/>
  <c r="K277" i="1"/>
  <c r="J289" i="1"/>
  <c r="H292" i="1"/>
  <c r="G121" i="1"/>
  <c r="G194" i="1"/>
  <c r="T220" i="1"/>
  <c r="G232" i="1"/>
  <c r="S220" i="1"/>
  <c r="E313" i="1"/>
  <c r="F283" i="1"/>
  <c r="F282" i="1"/>
  <c r="H289" i="1"/>
  <c r="N319" i="1"/>
  <c r="K90" i="1" l="1"/>
  <c r="F247" i="1"/>
  <c r="H253" i="1"/>
  <c r="P253" i="1" s="1"/>
  <c r="O253" i="1"/>
  <c r="G256" i="1"/>
  <c r="O256" i="1" s="1"/>
  <c r="L217" i="1"/>
  <c r="D229" i="1" s="1"/>
  <c r="H229" i="1" s="1"/>
  <c r="F13" i="1" s="1"/>
  <c r="G195" i="1"/>
  <c r="S181" i="1"/>
  <c r="G193" i="1" s="1"/>
  <c r="M193" i="1" s="1"/>
  <c r="T217" i="1"/>
  <c r="A286" i="1"/>
  <c r="J291" i="1"/>
  <c r="T184" i="1"/>
  <c r="Z289" i="1"/>
  <c r="Z293" i="1"/>
  <c r="O194" i="1"/>
  <c r="M194" i="1"/>
  <c r="K194" i="1"/>
  <c r="K121" i="1"/>
  <c r="K126" i="1" s="1"/>
  <c r="O121" i="1"/>
  <c r="O126" i="1" s="1"/>
  <c r="M121" i="1"/>
  <c r="M126" i="1" s="1"/>
  <c r="K157" i="1"/>
  <c r="O157" i="1"/>
  <c r="M157" i="1"/>
  <c r="O193" i="1"/>
  <c r="M160" i="1"/>
  <c r="O160" i="1"/>
  <c r="K160" i="1"/>
  <c r="O161" i="1"/>
  <c r="M161" i="1"/>
  <c r="K161" i="1"/>
  <c r="O196" i="1"/>
  <c r="M196" i="1"/>
  <c r="K196" i="1"/>
  <c r="M232" i="1"/>
  <c r="O232" i="1"/>
  <c r="K232" i="1"/>
  <c r="M195" i="1"/>
  <c r="O195" i="1"/>
  <c r="K195" i="1"/>
  <c r="G289" i="1"/>
  <c r="C315" i="1"/>
  <c r="Z322" i="1" s="1"/>
  <c r="J293" i="1"/>
  <c r="J290" i="1"/>
  <c r="L281" i="1"/>
  <c r="L282" i="1" s="1"/>
  <c r="I291" i="1"/>
  <c r="I290" i="1"/>
  <c r="S184" i="1"/>
  <c r="I292" i="1"/>
  <c r="H291" i="1"/>
  <c r="I196" i="1"/>
  <c r="Z285" i="1"/>
  <c r="Z290" i="1"/>
  <c r="Z287" i="1"/>
  <c r="Z292" i="1"/>
  <c r="Z286" i="1"/>
  <c r="K255" i="1"/>
  <c r="C267" i="1" s="1"/>
  <c r="E18" i="1"/>
  <c r="S217" i="1"/>
  <c r="K254" i="1"/>
  <c r="C266" i="1" s="1"/>
  <c r="R157" i="1"/>
  <c r="Z137" i="1" s="1"/>
  <c r="D19" i="1"/>
  <c r="F19" i="1"/>
  <c r="E15" i="1"/>
  <c r="G21" i="1"/>
  <c r="E21" i="1"/>
  <c r="E13" i="1"/>
  <c r="E17" i="1"/>
  <c r="D20" i="1"/>
  <c r="G197" i="1"/>
  <c r="D12" i="1"/>
  <c r="E14" i="1"/>
  <c r="D18" i="1"/>
  <c r="E16" i="1"/>
  <c r="F18" i="1"/>
  <c r="H290" i="1"/>
  <c r="L290" i="1" s="1"/>
  <c r="D302" i="1" s="1"/>
  <c r="C12" i="1"/>
  <c r="Z65" i="1"/>
  <c r="R91" i="1" s="1"/>
  <c r="O257" i="1"/>
  <c r="T257" i="1" s="1"/>
  <c r="K256" i="1"/>
  <c r="C268" i="1" s="1"/>
  <c r="H268" i="1" s="1"/>
  <c r="Z330" i="1"/>
  <c r="P254" i="1"/>
  <c r="L254" i="1"/>
  <c r="D266" i="1" s="1"/>
  <c r="D267" i="1"/>
  <c r="G290" i="1"/>
  <c r="K290" i="1" s="1"/>
  <c r="Z329" i="1"/>
  <c r="R193" i="1"/>
  <c r="R162" i="1"/>
  <c r="I293" i="1"/>
  <c r="M293" i="1" s="1"/>
  <c r="E305" i="1" s="1"/>
  <c r="B8" i="1"/>
  <c r="G291" i="1"/>
  <c r="K291" i="1" s="1"/>
  <c r="C303" i="1" s="1"/>
  <c r="H303" i="1" s="1"/>
  <c r="P255" i="1"/>
  <c r="S255" i="1" s="1"/>
  <c r="D22" i="1"/>
  <c r="R160" i="1"/>
  <c r="D10" i="1" s="1"/>
  <c r="G229" i="1"/>
  <c r="R294" i="1"/>
  <c r="N294" i="1"/>
  <c r="F306" i="1" s="1"/>
  <c r="Q294" i="1"/>
  <c r="M294" i="1"/>
  <c r="E306" i="1" s="1"/>
  <c r="H293" i="1"/>
  <c r="P293" i="1" s="1"/>
  <c r="H282" i="1"/>
  <c r="P259" i="1"/>
  <c r="L259" i="1"/>
  <c r="D271" i="1" s="1"/>
  <c r="O292" i="1"/>
  <c r="K292" i="1"/>
  <c r="C304" i="1" s="1"/>
  <c r="H304" i="1" s="1"/>
  <c r="R196" i="1"/>
  <c r="E10" i="1" s="1"/>
  <c r="R123" i="1"/>
  <c r="R195" i="1"/>
  <c r="R121" i="1"/>
  <c r="G293" i="1"/>
  <c r="O293" i="1" s="1"/>
  <c r="Z325" i="1"/>
  <c r="R124" i="1"/>
  <c r="C10" i="1" s="1"/>
  <c r="R126" i="1"/>
  <c r="D231" i="1"/>
  <c r="H231" i="1" s="1"/>
  <c r="C233" i="1"/>
  <c r="H233" i="1" s="1"/>
  <c r="R198" i="1"/>
  <c r="R197" i="1"/>
  <c r="E11" i="1" s="1"/>
  <c r="I232" i="1"/>
  <c r="S219" i="1"/>
  <c r="G231" i="1" s="1"/>
  <c r="H230" i="1"/>
  <c r="S218" i="1"/>
  <c r="T218" i="1"/>
  <c r="N282" i="1"/>
  <c r="N283" i="1"/>
  <c r="S221" i="1"/>
  <c r="T221" i="1"/>
  <c r="G351" i="1"/>
  <c r="F317" i="1"/>
  <c r="G329" i="1" s="1"/>
  <c r="O329" i="1" s="1"/>
  <c r="N317" i="1"/>
  <c r="N318" i="1" s="1"/>
  <c r="I351" i="1"/>
  <c r="J317" i="1"/>
  <c r="H317" i="1"/>
  <c r="H327" i="1" s="1"/>
  <c r="L327" i="1" s="1"/>
  <c r="K387" i="1"/>
  <c r="H199" i="1"/>
  <c r="H235" i="1"/>
  <c r="E9" i="1"/>
  <c r="L253" i="1"/>
  <c r="I295" i="1"/>
  <c r="G295" i="1"/>
  <c r="J295" i="1"/>
  <c r="H295" i="1"/>
  <c r="O259" i="1"/>
  <c r="K259" i="1"/>
  <c r="C271" i="1" s="1"/>
  <c r="I333" i="1"/>
  <c r="G333" i="1"/>
  <c r="I332" i="1"/>
  <c r="G332" i="1"/>
  <c r="I330" i="1"/>
  <c r="G330" i="1"/>
  <c r="J333" i="1"/>
  <c r="H333" i="1"/>
  <c r="J332" i="1"/>
  <c r="H332" i="1"/>
  <c r="J330" i="1"/>
  <c r="H330" i="1"/>
  <c r="P294" i="1"/>
  <c r="L294" i="1"/>
  <c r="D306" i="1" s="1"/>
  <c r="P296" i="1"/>
  <c r="L296" i="1"/>
  <c r="D308" i="1" s="1"/>
  <c r="O294" i="1"/>
  <c r="K294" i="1"/>
  <c r="C306" i="1" s="1"/>
  <c r="O296" i="1"/>
  <c r="K296" i="1"/>
  <c r="C308" i="1" s="1"/>
  <c r="H272" i="1"/>
  <c r="H270" i="1"/>
  <c r="I325" i="1"/>
  <c r="J325" i="1"/>
  <c r="S253" i="1"/>
  <c r="K313" i="1"/>
  <c r="G313" i="1"/>
  <c r="K289" i="1"/>
  <c r="C301" i="1" s="1"/>
  <c r="O289" i="1"/>
  <c r="L289" i="1"/>
  <c r="D301" i="1" s="1"/>
  <c r="P289" i="1"/>
  <c r="P329" i="1"/>
  <c r="T256" i="1"/>
  <c r="G268" i="1"/>
  <c r="S256" i="1"/>
  <c r="E349" i="1"/>
  <c r="C351" i="1"/>
  <c r="T253" i="1" l="1"/>
  <c r="E12" i="1"/>
  <c r="K193" i="1"/>
  <c r="J329" i="1"/>
  <c r="L317" i="1"/>
  <c r="L318" i="1" s="1"/>
  <c r="D317" i="1"/>
  <c r="F318" i="1" s="1"/>
  <c r="I326" i="1"/>
  <c r="J328" i="1"/>
  <c r="Z324" i="1"/>
  <c r="Z327" i="1"/>
  <c r="O162" i="1"/>
  <c r="K229" i="1"/>
  <c r="O229" i="1"/>
  <c r="M229" i="1"/>
  <c r="M197" i="1"/>
  <c r="M198" i="1" s="1"/>
  <c r="O197" i="1"/>
  <c r="O198" i="1" s="1"/>
  <c r="K197" i="1"/>
  <c r="K198" i="1" s="1"/>
  <c r="O268" i="1"/>
  <c r="M268" i="1"/>
  <c r="K268" i="1"/>
  <c r="O231" i="1"/>
  <c r="M231" i="1"/>
  <c r="K231" i="1"/>
  <c r="A322" i="1"/>
  <c r="I328" i="1"/>
  <c r="J327" i="1"/>
  <c r="H328" i="1"/>
  <c r="I327" i="1"/>
  <c r="J326" i="1"/>
  <c r="H329" i="1"/>
  <c r="L329" i="1" s="1"/>
  <c r="H325" i="1"/>
  <c r="I329" i="1"/>
  <c r="Z321" i="1"/>
  <c r="Z326" i="1"/>
  <c r="Z323" i="1"/>
  <c r="Z328" i="1"/>
  <c r="G233" i="1"/>
  <c r="S85" i="1"/>
  <c r="B6" i="1" s="1"/>
  <c r="G19" i="1"/>
  <c r="H19" i="1"/>
  <c r="F21" i="1"/>
  <c r="E20" i="1"/>
  <c r="K162" i="1"/>
  <c r="F15" i="1"/>
  <c r="F17" i="1"/>
  <c r="H17" i="1"/>
  <c r="M162" i="1"/>
  <c r="P290" i="1"/>
  <c r="F12" i="1"/>
  <c r="G18" i="1"/>
  <c r="F16" i="1"/>
  <c r="H266" i="1"/>
  <c r="B23" i="1"/>
  <c r="Z173" i="1"/>
  <c r="R199" i="1" s="1"/>
  <c r="Z101" i="1"/>
  <c r="R127" i="1" s="1"/>
  <c r="O291" i="1"/>
  <c r="G303" i="1" s="1"/>
  <c r="S257" i="1"/>
  <c r="G269" i="1"/>
  <c r="I267" i="1"/>
  <c r="G22" i="1" s="1"/>
  <c r="Z366" i="1"/>
  <c r="S254" i="1"/>
  <c r="T254" i="1"/>
  <c r="O290" i="1"/>
  <c r="I268" i="1"/>
  <c r="T255" i="1"/>
  <c r="G267" i="1" s="1"/>
  <c r="Z358" i="1"/>
  <c r="Z365" i="1"/>
  <c r="Z364" i="1"/>
  <c r="E8" i="1"/>
  <c r="K293" i="1"/>
  <c r="C305" i="1" s="1"/>
  <c r="Q293" i="1"/>
  <c r="S293" i="1" s="1"/>
  <c r="G265" i="1"/>
  <c r="L293" i="1"/>
  <c r="D305" i="1" s="1"/>
  <c r="R163" i="1"/>
  <c r="D8" i="1"/>
  <c r="G326" i="1"/>
  <c r="K326" i="1" s="1"/>
  <c r="C302" i="1"/>
  <c r="H302" i="1" s="1"/>
  <c r="P295" i="1"/>
  <c r="L295" i="1"/>
  <c r="D307" i="1" s="1"/>
  <c r="T292" i="1"/>
  <c r="S292" i="1"/>
  <c r="G304" i="1"/>
  <c r="I269" i="1"/>
  <c r="C8" i="1"/>
  <c r="H267" i="1"/>
  <c r="Z363" i="1"/>
  <c r="Z359" i="1"/>
  <c r="Z361" i="1"/>
  <c r="Z362" i="1"/>
  <c r="Z360" i="1"/>
  <c r="Z357" i="1"/>
  <c r="G327" i="1"/>
  <c r="K327" i="1" s="1"/>
  <c r="H326" i="1"/>
  <c r="L326" i="1" s="1"/>
  <c r="K329" i="1"/>
  <c r="C341" i="1" s="1"/>
  <c r="H341" i="1" s="1"/>
  <c r="G328" i="1"/>
  <c r="O328" i="1" s="1"/>
  <c r="G325" i="1"/>
  <c r="O325" i="1" s="1"/>
  <c r="I233" i="1"/>
  <c r="I231" i="1"/>
  <c r="F22" i="1" s="1"/>
  <c r="D265" i="1"/>
  <c r="H265" i="1" s="1"/>
  <c r="H319" i="1"/>
  <c r="H318" i="1"/>
  <c r="G387" i="1"/>
  <c r="F353" i="1"/>
  <c r="G362" i="1" s="1"/>
  <c r="O362" i="1" s="1"/>
  <c r="N353" i="1"/>
  <c r="G230" i="1"/>
  <c r="J319" i="1"/>
  <c r="D339" i="1" s="1"/>
  <c r="J318" i="1"/>
  <c r="I387" i="1"/>
  <c r="J389" i="1" s="1"/>
  <c r="H353" i="1"/>
  <c r="G363" i="1" s="1"/>
  <c r="K363" i="1" s="1"/>
  <c r="J353" i="1"/>
  <c r="I234" i="1"/>
  <c r="I270" i="1"/>
  <c r="R269" i="1" s="1"/>
  <c r="G11" i="1" s="1"/>
  <c r="P327" i="1"/>
  <c r="O295" i="1"/>
  <c r="K295" i="1"/>
  <c r="C307" i="1" s="1"/>
  <c r="I331" i="1"/>
  <c r="G331" i="1"/>
  <c r="J331" i="1"/>
  <c r="H331" i="1"/>
  <c r="I369" i="1"/>
  <c r="G369" i="1"/>
  <c r="I368" i="1"/>
  <c r="G368" i="1"/>
  <c r="I366" i="1"/>
  <c r="G366" i="1"/>
  <c r="J369" i="1"/>
  <c r="H369" i="1"/>
  <c r="J368" i="1"/>
  <c r="H368" i="1"/>
  <c r="J366" i="1"/>
  <c r="H366" i="1"/>
  <c r="P330" i="1"/>
  <c r="L330" i="1"/>
  <c r="D342" i="1" s="1"/>
  <c r="P332" i="1"/>
  <c r="L332" i="1"/>
  <c r="D344" i="1" s="1"/>
  <c r="O330" i="1"/>
  <c r="K330" i="1"/>
  <c r="C342" i="1" s="1"/>
  <c r="O332" i="1"/>
  <c r="K332" i="1"/>
  <c r="C344" i="1" s="1"/>
  <c r="Q330" i="1"/>
  <c r="M330" i="1"/>
  <c r="E342" i="1" s="1"/>
  <c r="Q332" i="1"/>
  <c r="M332" i="1"/>
  <c r="E344" i="1" s="1"/>
  <c r="H308" i="1"/>
  <c r="H306" i="1"/>
  <c r="I365" i="1"/>
  <c r="G349" i="1"/>
  <c r="D353" i="1"/>
  <c r="H361" i="1" s="1"/>
  <c r="J363" i="1"/>
  <c r="K349" i="1"/>
  <c r="J361" i="1"/>
  <c r="J365" i="1"/>
  <c r="L353" i="1"/>
  <c r="J362" i="1"/>
  <c r="J364" i="1"/>
  <c r="I361" i="1"/>
  <c r="I362" i="1"/>
  <c r="I363" i="1"/>
  <c r="T329" i="1"/>
  <c r="S329" i="1"/>
  <c r="T289" i="1"/>
  <c r="S289" i="1"/>
  <c r="E385" i="1"/>
  <c r="I364" i="1"/>
  <c r="C387" i="1"/>
  <c r="A358" i="1"/>
  <c r="H301" i="1"/>
  <c r="N391" i="1"/>
  <c r="I398" i="1"/>
  <c r="B7" i="1" l="1"/>
  <c r="B5" i="1"/>
  <c r="O230" i="1"/>
  <c r="M230" i="1"/>
  <c r="K230" i="1"/>
  <c r="O265" i="1"/>
  <c r="M265" i="1"/>
  <c r="K265" i="1"/>
  <c r="M267" i="1"/>
  <c r="O267" i="1"/>
  <c r="K267" i="1"/>
  <c r="M304" i="1"/>
  <c r="O304" i="1"/>
  <c r="K304" i="1"/>
  <c r="M269" i="1"/>
  <c r="O269" i="1"/>
  <c r="K269" i="1"/>
  <c r="O303" i="1"/>
  <c r="M303" i="1"/>
  <c r="K303" i="1"/>
  <c r="F20" i="1"/>
  <c r="O233" i="1"/>
  <c r="M233" i="1"/>
  <c r="K233" i="1"/>
  <c r="S290" i="1"/>
  <c r="S121" i="1"/>
  <c r="C5" i="1" s="1"/>
  <c r="S157" i="1"/>
  <c r="D6" i="1" s="1"/>
  <c r="S193" i="1"/>
  <c r="E5" i="1" s="1"/>
  <c r="H13" i="1"/>
  <c r="G17" i="1"/>
  <c r="H15" i="1"/>
  <c r="G15" i="1"/>
  <c r="I21" i="1"/>
  <c r="G20" i="1"/>
  <c r="R266" i="1"/>
  <c r="Z246" i="1" s="1"/>
  <c r="G12" i="1"/>
  <c r="F14" i="1"/>
  <c r="H16" i="1"/>
  <c r="H18" i="1"/>
  <c r="G16" i="1"/>
  <c r="E23" i="1"/>
  <c r="C23" i="1"/>
  <c r="T290" i="1"/>
  <c r="K328" i="1"/>
  <c r="C340" i="1" s="1"/>
  <c r="H340" i="1" s="1"/>
  <c r="T291" i="1"/>
  <c r="S291" i="1"/>
  <c r="T293" i="1"/>
  <c r="G305" i="1" s="1"/>
  <c r="I304" i="1"/>
  <c r="Z402" i="1"/>
  <c r="G266" i="1"/>
  <c r="Z394" i="1"/>
  <c r="Z401" i="1"/>
  <c r="Z400" i="1"/>
  <c r="K325" i="1"/>
  <c r="C337" i="1" s="1"/>
  <c r="H337" i="1" s="1"/>
  <c r="O326" i="1"/>
  <c r="C338" i="1"/>
  <c r="H365" i="1"/>
  <c r="L365" i="1" s="1"/>
  <c r="H362" i="1"/>
  <c r="P362" i="1" s="1"/>
  <c r="S362" i="1" s="1"/>
  <c r="G365" i="1"/>
  <c r="O365" i="1" s="1"/>
  <c r="P326" i="1"/>
  <c r="D23" i="1"/>
  <c r="P331" i="1"/>
  <c r="L331" i="1"/>
  <c r="D343" i="1" s="1"/>
  <c r="D338" i="1"/>
  <c r="Z399" i="1"/>
  <c r="R229" i="1"/>
  <c r="Z209" i="1" s="1"/>
  <c r="Z395" i="1"/>
  <c r="Z397" i="1"/>
  <c r="Z398" i="1"/>
  <c r="Z396" i="1"/>
  <c r="Z393" i="1"/>
  <c r="C339" i="1"/>
  <c r="H339" i="1" s="1"/>
  <c r="O327" i="1"/>
  <c r="S327" i="1" s="1"/>
  <c r="R232" i="1"/>
  <c r="F10" i="1" s="1"/>
  <c r="I305" i="1"/>
  <c r="K362" i="1"/>
  <c r="H305" i="1"/>
  <c r="I303" i="1"/>
  <c r="H22" i="1" s="1"/>
  <c r="G13" i="1"/>
  <c r="R265" i="1"/>
  <c r="R268" i="1"/>
  <c r="G10" i="1" s="1"/>
  <c r="R267" i="1"/>
  <c r="H363" i="1"/>
  <c r="P363" i="1" s="1"/>
  <c r="H354" i="1"/>
  <c r="H355" i="1"/>
  <c r="N389" i="1"/>
  <c r="N390" i="1" s="1"/>
  <c r="F389" i="1"/>
  <c r="G398" i="1" s="1"/>
  <c r="K398" i="1" s="1"/>
  <c r="N355" i="1"/>
  <c r="N354" i="1"/>
  <c r="J355" i="1"/>
  <c r="J354" i="1"/>
  <c r="C375" i="1" s="1"/>
  <c r="H389" i="1"/>
  <c r="H399" i="1" s="1"/>
  <c r="P399" i="1" s="1"/>
  <c r="R234" i="1"/>
  <c r="R231" i="1"/>
  <c r="R270" i="1"/>
  <c r="R230" i="1"/>
  <c r="Z210" i="1" s="1"/>
  <c r="R233" i="1"/>
  <c r="F11" i="1" s="1"/>
  <c r="H271" i="1"/>
  <c r="I306" i="1"/>
  <c r="R302" i="1" s="1"/>
  <c r="Z282" i="1" s="1"/>
  <c r="F355" i="1"/>
  <c r="H401" i="1"/>
  <c r="O331" i="1"/>
  <c r="K331" i="1"/>
  <c r="C343" i="1" s="1"/>
  <c r="I367" i="1"/>
  <c r="G367" i="1"/>
  <c r="J367" i="1"/>
  <c r="H367" i="1"/>
  <c r="I405" i="1"/>
  <c r="G405" i="1"/>
  <c r="I404" i="1"/>
  <c r="G404" i="1"/>
  <c r="I402" i="1"/>
  <c r="G402" i="1"/>
  <c r="J405" i="1"/>
  <c r="H405" i="1"/>
  <c r="J404" i="1"/>
  <c r="H404" i="1"/>
  <c r="J402" i="1"/>
  <c r="H402" i="1"/>
  <c r="P366" i="1"/>
  <c r="L366" i="1"/>
  <c r="D378" i="1" s="1"/>
  <c r="P368" i="1"/>
  <c r="L368" i="1"/>
  <c r="D380" i="1" s="1"/>
  <c r="O366" i="1"/>
  <c r="K366" i="1"/>
  <c r="C378" i="1" s="1"/>
  <c r="O368" i="1"/>
  <c r="K368" i="1"/>
  <c r="C380" i="1" s="1"/>
  <c r="R366" i="1"/>
  <c r="N366" i="1"/>
  <c r="F378" i="1" s="1"/>
  <c r="Q366" i="1"/>
  <c r="M366" i="1"/>
  <c r="E378" i="1" s="1"/>
  <c r="Q368" i="1"/>
  <c r="M368" i="1"/>
  <c r="E380" i="1" s="1"/>
  <c r="L389" i="1"/>
  <c r="L390" i="1" s="1"/>
  <c r="J400" i="1"/>
  <c r="G364" i="1"/>
  <c r="O364" i="1" s="1"/>
  <c r="H364" i="1"/>
  <c r="L354" i="1"/>
  <c r="L355" i="1"/>
  <c r="I401" i="1"/>
  <c r="J398" i="1"/>
  <c r="I397" i="1"/>
  <c r="I399" i="1"/>
  <c r="F354" i="1"/>
  <c r="G361" i="1"/>
  <c r="O361" i="1" s="1"/>
  <c r="H342" i="1"/>
  <c r="H344" i="1"/>
  <c r="D389" i="1"/>
  <c r="G400" i="1" s="1"/>
  <c r="K400" i="1" s="1"/>
  <c r="H400" i="1"/>
  <c r="J397" i="1"/>
  <c r="J399" i="1"/>
  <c r="J401" i="1"/>
  <c r="I400" i="1"/>
  <c r="O363" i="1"/>
  <c r="K385" i="1"/>
  <c r="G385" i="1"/>
  <c r="G301" i="1"/>
  <c r="G341" i="1"/>
  <c r="L401" i="1"/>
  <c r="P401" i="1"/>
  <c r="L361" i="1"/>
  <c r="P361" i="1"/>
  <c r="T325" i="1"/>
  <c r="G337" i="1"/>
  <c r="S325" i="1"/>
  <c r="T328" i="1"/>
  <c r="G340" i="1"/>
  <c r="S328" i="1"/>
  <c r="A394" i="1"/>
  <c r="C6" i="1" l="1"/>
  <c r="C7" i="1"/>
  <c r="E6" i="1"/>
  <c r="E7" i="1"/>
  <c r="D7" i="1"/>
  <c r="D5" i="1"/>
  <c r="O234" i="1"/>
  <c r="M234" i="1"/>
  <c r="O337" i="1"/>
  <c r="M337" i="1"/>
  <c r="K337" i="1"/>
  <c r="O301" i="1"/>
  <c r="M301" i="1"/>
  <c r="K301" i="1"/>
  <c r="O266" i="1"/>
  <c r="O270" i="1" s="1"/>
  <c r="M266" i="1"/>
  <c r="M270" i="1" s="1"/>
  <c r="K266" i="1"/>
  <c r="K270" i="1" s="1"/>
  <c r="M341" i="1"/>
  <c r="O341" i="1"/>
  <c r="K341" i="1"/>
  <c r="O305" i="1"/>
  <c r="K305" i="1"/>
  <c r="M305" i="1"/>
  <c r="O340" i="1"/>
  <c r="K340" i="1"/>
  <c r="M340" i="1"/>
  <c r="K234" i="1"/>
  <c r="G9" i="1"/>
  <c r="G302" i="1"/>
  <c r="I19" i="1"/>
  <c r="I20" i="1"/>
  <c r="H21" i="1"/>
  <c r="I17" i="1"/>
  <c r="I13" i="1"/>
  <c r="H20" i="1"/>
  <c r="H12" i="1"/>
  <c r="I12" i="1"/>
  <c r="G14" i="1"/>
  <c r="I18" i="1"/>
  <c r="Z245" i="1"/>
  <c r="R271" i="1" s="1"/>
  <c r="T362" i="1"/>
  <c r="G374" i="1" s="1"/>
  <c r="D373" i="1"/>
  <c r="D377" i="1"/>
  <c r="S326" i="1"/>
  <c r="T326" i="1"/>
  <c r="F8" i="1"/>
  <c r="H398" i="1"/>
  <c r="L398" i="1" s="1"/>
  <c r="K361" i="1"/>
  <c r="C373" i="1" s="1"/>
  <c r="L362" i="1"/>
  <c r="D374" i="1" s="1"/>
  <c r="H338" i="1"/>
  <c r="P365" i="1"/>
  <c r="S365" i="1" s="1"/>
  <c r="K365" i="1"/>
  <c r="C377" i="1" s="1"/>
  <c r="F390" i="1"/>
  <c r="I340" i="1"/>
  <c r="T327" i="1"/>
  <c r="G339" i="1" s="1"/>
  <c r="I339" i="1"/>
  <c r="I22" i="1" s="1"/>
  <c r="I341" i="1"/>
  <c r="R301" i="1"/>
  <c r="C412" i="1"/>
  <c r="H412" i="1" s="1"/>
  <c r="L363" i="1"/>
  <c r="D375" i="1" s="1"/>
  <c r="H375" i="1" s="1"/>
  <c r="G399" i="1"/>
  <c r="K399" i="1" s="1"/>
  <c r="R304" i="1"/>
  <c r="H10" i="1" s="1"/>
  <c r="G8" i="1"/>
  <c r="C374" i="1"/>
  <c r="G401" i="1"/>
  <c r="K401" i="1" s="1"/>
  <c r="C413" i="1" s="1"/>
  <c r="H413" i="1" s="1"/>
  <c r="R303" i="1"/>
  <c r="R305" i="1"/>
  <c r="H11" i="1" s="1"/>
  <c r="R306" i="1"/>
  <c r="H307" i="1"/>
  <c r="H391" i="1"/>
  <c r="H390" i="1"/>
  <c r="J390" i="1"/>
  <c r="J391" i="1"/>
  <c r="F9" i="1"/>
  <c r="R235" i="1"/>
  <c r="H343" i="1"/>
  <c r="I342" i="1"/>
  <c r="R338" i="1" s="1"/>
  <c r="Z318" i="1" s="1"/>
  <c r="K364" i="1"/>
  <c r="C376" i="1" s="1"/>
  <c r="L399" i="1"/>
  <c r="S363" i="1"/>
  <c r="O367" i="1"/>
  <c r="K367" i="1"/>
  <c r="C379" i="1" s="1"/>
  <c r="I403" i="1"/>
  <c r="G403" i="1"/>
  <c r="J403" i="1"/>
  <c r="H403" i="1"/>
  <c r="P402" i="1"/>
  <c r="L402" i="1"/>
  <c r="D414" i="1" s="1"/>
  <c r="P404" i="1"/>
  <c r="L404" i="1"/>
  <c r="D416" i="1" s="1"/>
  <c r="O402" i="1"/>
  <c r="K402" i="1"/>
  <c r="C414" i="1" s="1"/>
  <c r="O404" i="1"/>
  <c r="K404" i="1"/>
  <c r="C416" i="1" s="1"/>
  <c r="Q402" i="1"/>
  <c r="M402" i="1"/>
  <c r="E414" i="1" s="1"/>
  <c r="Q404" i="1"/>
  <c r="M404" i="1"/>
  <c r="E416" i="1" s="1"/>
  <c r="L364" i="1"/>
  <c r="D376" i="1" s="1"/>
  <c r="P364" i="1"/>
  <c r="O398" i="1"/>
  <c r="H380" i="1"/>
  <c r="H378" i="1"/>
  <c r="H397" i="1"/>
  <c r="L397" i="1" s="1"/>
  <c r="O400" i="1"/>
  <c r="G412" i="1" s="1"/>
  <c r="H9" i="1"/>
  <c r="T363" i="1"/>
  <c r="F391" i="1"/>
  <c r="G397" i="1"/>
  <c r="O397" i="1" s="1"/>
  <c r="T361" i="1"/>
  <c r="S361" i="1"/>
  <c r="G338" i="1" l="1"/>
  <c r="O338" i="1" s="1"/>
  <c r="O302" i="1"/>
  <c r="O306" i="1" s="1"/>
  <c r="M302" i="1"/>
  <c r="M306" i="1" s="1"/>
  <c r="K302" i="1"/>
  <c r="K306" i="1" s="1"/>
  <c r="O412" i="1"/>
  <c r="K412" i="1"/>
  <c r="M412" i="1"/>
  <c r="M339" i="1"/>
  <c r="O339" i="1"/>
  <c r="K339" i="1"/>
  <c r="H14" i="1"/>
  <c r="S265" i="1"/>
  <c r="G7" i="1" s="1"/>
  <c r="S229" i="1"/>
  <c r="F7" i="1" s="1"/>
  <c r="K19" i="1"/>
  <c r="K21" i="1"/>
  <c r="J17" i="1"/>
  <c r="I15" i="1"/>
  <c r="J14" i="1"/>
  <c r="I14" i="1"/>
  <c r="K18" i="1"/>
  <c r="I16" i="1"/>
  <c r="H377" i="1"/>
  <c r="G23" i="1"/>
  <c r="Z281" i="1"/>
  <c r="R307" i="1" s="1"/>
  <c r="S301" i="1" s="1"/>
  <c r="H6" i="1" s="1"/>
  <c r="H373" i="1"/>
  <c r="R339" i="1"/>
  <c r="R340" i="1"/>
  <c r="I10" i="1" s="1"/>
  <c r="D410" i="1"/>
  <c r="P398" i="1"/>
  <c r="S398" i="1" s="1"/>
  <c r="I376" i="1"/>
  <c r="H374" i="1"/>
  <c r="O374" i="1" s="1"/>
  <c r="T365" i="1"/>
  <c r="G377" i="1" s="1"/>
  <c r="O399" i="1"/>
  <c r="S399" i="1" s="1"/>
  <c r="R337" i="1"/>
  <c r="T400" i="1"/>
  <c r="C411" i="1"/>
  <c r="K397" i="1"/>
  <c r="C409" i="1" s="1"/>
  <c r="O401" i="1"/>
  <c r="H8" i="1"/>
  <c r="R342" i="1"/>
  <c r="R341" i="1"/>
  <c r="I11" i="1" s="1"/>
  <c r="S400" i="1"/>
  <c r="P397" i="1"/>
  <c r="T397" i="1" s="1"/>
  <c r="D409" i="1"/>
  <c r="D411" i="1"/>
  <c r="C410" i="1"/>
  <c r="F23" i="1"/>
  <c r="H379" i="1"/>
  <c r="I378" i="1"/>
  <c r="R374" i="1" s="1"/>
  <c r="Z354" i="1" s="1"/>
  <c r="G375" i="1"/>
  <c r="O403" i="1"/>
  <c r="K403" i="1"/>
  <c r="C415" i="1" s="1"/>
  <c r="H376" i="1"/>
  <c r="I377" i="1"/>
  <c r="I375" i="1"/>
  <c r="T364" i="1"/>
  <c r="S364" i="1"/>
  <c r="H416" i="1"/>
  <c r="I9" i="1"/>
  <c r="H414" i="1"/>
  <c r="G373" i="1"/>
  <c r="F6" i="1" l="1"/>
  <c r="H5" i="1"/>
  <c r="H7" i="1"/>
  <c r="G6" i="1"/>
  <c r="F5" i="1"/>
  <c r="G5" i="1"/>
  <c r="M338" i="1"/>
  <c r="O342" i="1"/>
  <c r="K338" i="1"/>
  <c r="O373" i="1"/>
  <c r="M373" i="1"/>
  <c r="K373" i="1"/>
  <c r="M374" i="1"/>
  <c r="K374" i="1"/>
  <c r="O375" i="1"/>
  <c r="K375" i="1"/>
  <c r="M375" i="1"/>
  <c r="O377" i="1"/>
  <c r="K377" i="1"/>
  <c r="M377" i="1"/>
  <c r="K342" i="1"/>
  <c r="M342" i="1"/>
  <c r="J19" i="1"/>
  <c r="J15" i="1"/>
  <c r="J13" i="1"/>
  <c r="J20" i="1"/>
  <c r="J21" i="1"/>
  <c r="S397" i="1"/>
  <c r="J12" i="1"/>
  <c r="J16" i="1"/>
  <c r="H23" i="1"/>
  <c r="Z317" i="1"/>
  <c r="R343" i="1" s="1"/>
  <c r="T398" i="1"/>
  <c r="G410" i="1" s="1"/>
  <c r="I412" i="1"/>
  <c r="H410" i="1"/>
  <c r="I411" i="1"/>
  <c r="K22" i="1" s="1"/>
  <c r="H409" i="1"/>
  <c r="I413" i="1"/>
  <c r="T399" i="1"/>
  <c r="G411" i="1" s="1"/>
  <c r="G413" i="1"/>
  <c r="I8" i="1"/>
  <c r="R377" i="1"/>
  <c r="J11" i="1" s="1"/>
  <c r="S401" i="1"/>
  <c r="T401" i="1"/>
  <c r="H411" i="1"/>
  <c r="J9" i="1"/>
  <c r="I414" i="1"/>
  <c r="R413" i="1" s="1"/>
  <c r="K11" i="1" s="1"/>
  <c r="R373" i="1"/>
  <c r="Z353" i="1" s="1"/>
  <c r="J22" i="1"/>
  <c r="R375" i="1"/>
  <c r="R376" i="1"/>
  <c r="J10" i="1" s="1"/>
  <c r="G376" i="1"/>
  <c r="R378" i="1"/>
  <c r="G409" i="1"/>
  <c r="O409" i="1" l="1"/>
  <c r="M409" i="1"/>
  <c r="K409" i="1"/>
  <c r="O410" i="1"/>
  <c r="M410" i="1"/>
  <c r="K410" i="1"/>
  <c r="M376" i="1"/>
  <c r="M378" i="1" s="1"/>
  <c r="O376" i="1"/>
  <c r="O378" i="1" s="1"/>
  <c r="K376" i="1"/>
  <c r="K378" i="1" s="1"/>
  <c r="M413" i="1"/>
  <c r="O413" i="1"/>
  <c r="K413" i="1"/>
  <c r="M411" i="1"/>
  <c r="O411" i="1"/>
  <c r="K411" i="1"/>
  <c r="S337" i="1"/>
  <c r="I7" i="1" s="1"/>
  <c r="K20" i="1"/>
  <c r="K15" i="1"/>
  <c r="K17" i="1"/>
  <c r="K13" i="1"/>
  <c r="K12" i="1"/>
  <c r="K14" i="1"/>
  <c r="J18" i="1"/>
  <c r="K16" i="1"/>
  <c r="I23" i="1"/>
  <c r="R412" i="1"/>
  <c r="K10" i="1" s="1"/>
  <c r="R409" i="1"/>
  <c r="Z389" i="1" s="1"/>
  <c r="R414" i="1"/>
  <c r="R410" i="1"/>
  <c r="Z390" i="1" s="1"/>
  <c r="R411" i="1"/>
  <c r="H415" i="1"/>
  <c r="J8" i="1"/>
  <c r="R379" i="1"/>
  <c r="I6" i="1" l="1"/>
  <c r="I5" i="1"/>
  <c r="S373" i="1"/>
  <c r="J7" i="1" s="1"/>
  <c r="O414" i="1"/>
  <c r="M414" i="1"/>
  <c r="K414" i="1"/>
  <c r="J23" i="1"/>
  <c r="K8" i="1"/>
  <c r="K9" i="1"/>
  <c r="R415" i="1"/>
  <c r="J6" i="1" l="1"/>
  <c r="J5" i="1"/>
  <c r="S409" i="1"/>
  <c r="K7" i="1" s="1"/>
  <c r="K23" i="1"/>
  <c r="K5" i="1" l="1"/>
  <c r="K6" i="1"/>
  <c r="R54" i="1"/>
  <c r="R49" i="1" l="1"/>
  <c r="R51" i="1"/>
  <c r="R52" i="1"/>
  <c r="R53" i="1"/>
  <c r="R50" i="1"/>
  <c r="R55" i="1" l="1"/>
  <c r="S49" i="1"/>
</calcChain>
</file>

<file path=xl/comments1.xml><?xml version="1.0" encoding="utf-8"?>
<comments xmlns="http://schemas.openxmlformats.org/spreadsheetml/2006/main">
  <authors>
    <author>Vincent</author>
  </authors>
  <commentList>
    <comment ref="K55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163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164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165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199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200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201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235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236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237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271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272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307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308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309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343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344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345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379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380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381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  <comment ref="K415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fibs price is not allowed to pass X% deviation within the range][outside de range price is not allowed to pass X% deviation</t>
        </r>
      </text>
    </comment>
    <comment ref="K416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 price is not allowed to pass X% deviation][between Fib's price is not allowed outside the range]</t>
        </r>
      </text>
    </comment>
    <comment ref="K417" authorId="0">
      <text>
        <r>
          <rPr>
            <b/>
            <sz val="9"/>
            <color indexed="81"/>
            <rFont val="Tahoma"/>
            <family val="2"/>
          </rPr>
          <t>Vincent:</t>
        </r>
        <r>
          <rPr>
            <sz val="9"/>
            <color indexed="81"/>
            <rFont val="Tahoma"/>
            <family val="2"/>
          </rPr>
          <t xml:space="preserve">
[If there is one fib. Price is not allowed to pass X% deviation][between fib's every price within the range is allowed][outside de range price is not allowed to pass X% deviation</t>
        </r>
      </text>
    </comment>
  </commentList>
</comments>
</file>

<file path=xl/sharedStrings.xml><?xml version="1.0" encoding="utf-8"?>
<sst xmlns="http://schemas.openxmlformats.org/spreadsheetml/2006/main" count="1448" uniqueCount="137">
  <si>
    <t>Gartley</t>
  </si>
  <si>
    <t>A</t>
  </si>
  <si>
    <t>B</t>
  </si>
  <si>
    <t>C</t>
  </si>
  <si>
    <t>D</t>
  </si>
  <si>
    <t>X</t>
  </si>
  <si>
    <t>XA</t>
  </si>
  <si>
    <t>AB</t>
  </si>
  <si>
    <t>BC</t>
  </si>
  <si>
    <t>CD</t>
  </si>
  <si>
    <t>Ret./Ext.</t>
  </si>
  <si>
    <t>XB ret.</t>
  </si>
  <si>
    <t>AC ret.</t>
  </si>
  <si>
    <t>BD ext.</t>
  </si>
  <si>
    <t>XD ret.</t>
  </si>
  <si>
    <t>%</t>
  </si>
  <si>
    <t>Leg:</t>
  </si>
  <si>
    <t>----------</t>
  </si>
  <si>
    <t>Perf. Leg1</t>
  </si>
  <si>
    <t>Perf. Leg2</t>
  </si>
  <si>
    <t>Perf. Leg3</t>
  </si>
  <si>
    <t>Perf. Leg4</t>
  </si>
  <si>
    <t>Bat</t>
  </si>
  <si>
    <t>Butterfly</t>
  </si>
  <si>
    <t>Crab</t>
  </si>
  <si>
    <t>Shark</t>
  </si>
  <si>
    <t>Leonardo</t>
  </si>
  <si>
    <t>Dragon</t>
  </si>
  <si>
    <t>Max dev.</t>
  </si>
  <si>
    <t>AB=CD ext.</t>
  </si>
  <si>
    <t>XD from XA</t>
  </si>
  <si>
    <t>AB=CD from AB</t>
  </si>
  <si>
    <t>PRZ</t>
  </si>
  <si>
    <t>Act. Leg</t>
  </si>
  <si>
    <t>More Info:</t>
  </si>
  <si>
    <t>% All</t>
  </si>
  <si>
    <t>Y/N</t>
  </si>
  <si>
    <t>Insert Actual Price :</t>
  </si>
  <si>
    <t>PRZ Only</t>
  </si>
  <si>
    <t>Pattern Type:</t>
  </si>
  <si>
    <t>Zone</t>
  </si>
  <si>
    <t>PRT's</t>
  </si>
  <si>
    <t>Mx Bat</t>
  </si>
  <si>
    <t>Price</t>
  </si>
  <si>
    <t>Time</t>
  </si>
  <si>
    <t>Settings</t>
  </si>
  <si>
    <t>Time XB ext.</t>
  </si>
  <si>
    <t>Time XD ext.</t>
  </si>
  <si>
    <t>Avg Time</t>
  </si>
  <si>
    <t>Perfect Prices:</t>
  </si>
  <si>
    <t>Fib. Ratios:</t>
  </si>
  <si>
    <t>from leg</t>
  </si>
  <si>
    <t>Deviation from Target:</t>
  </si>
  <si>
    <t>Deviation from Target in %:</t>
  </si>
  <si>
    <t>Avg Price</t>
  </si>
  <si>
    <t>% PRZ</t>
  </si>
  <si>
    <t>Avg All</t>
  </si>
  <si>
    <t>N</t>
  </si>
  <si>
    <t>Insert Actual Time (Candle count) :</t>
  </si>
  <si>
    <t>Mx Gartley</t>
  </si>
  <si>
    <t>Nw Cypher</t>
  </si>
  <si>
    <t>Pattern Type :</t>
  </si>
  <si>
    <t>Harmonic Pattern Structure Rating</t>
  </si>
  <si>
    <t>High</t>
  </si>
  <si>
    <t>Low</t>
  </si>
  <si>
    <t>Between Fib's</t>
  </si>
  <si>
    <t>Time XC ext.</t>
  </si>
  <si>
    <t>Convert 0 to "No Data"</t>
  </si>
  <si>
    <t>Arbitrage Data</t>
  </si>
  <si>
    <t>Between</t>
  </si>
  <si>
    <t>Y</t>
  </si>
  <si>
    <t>Formula</t>
  </si>
  <si>
    <t>Price Deviation</t>
  </si>
  <si>
    <t>Time Deviation</t>
  </si>
  <si>
    <t>XB</t>
  </si>
  <si>
    <t>Check info</t>
  </si>
  <si>
    <t>B deviation</t>
  </si>
  <si>
    <t>C deviation</t>
  </si>
  <si>
    <t>B in Fib. range</t>
  </si>
  <si>
    <t>C in Fib. range</t>
  </si>
  <si>
    <t>Invalid message</t>
  </si>
  <si>
    <t>No Structure found</t>
  </si>
  <si>
    <t>Type Number:</t>
  </si>
  <si>
    <t>D passed X</t>
  </si>
  <si>
    <t>C passed A</t>
  </si>
  <si>
    <t>B passed X</t>
  </si>
  <si>
    <t>C not passed A</t>
  </si>
  <si>
    <t>D not passed B</t>
  </si>
  <si>
    <t>D not passed X</t>
  </si>
  <si>
    <t>D passed B</t>
  </si>
  <si>
    <t>B not passed X</t>
  </si>
  <si>
    <t>Deviation Settings</t>
  </si>
  <si>
    <t>Convert "0" to "No Data"</t>
  </si>
  <si>
    <t>E</t>
  </si>
  <si>
    <t>E passed C</t>
  </si>
  <si>
    <t>Actual Time (Candle count) :</t>
  </si>
  <si>
    <t>Actual Price :</t>
  </si>
  <si>
    <t>TP1</t>
  </si>
  <si>
    <t>TP2</t>
  </si>
  <si>
    <t>TP3</t>
  </si>
  <si>
    <t>TP fib's</t>
  </si>
  <si>
    <t>TP4</t>
  </si>
  <si>
    <t>Take Profit Targets</t>
  </si>
  <si>
    <t>TP Price</t>
  </si>
  <si>
    <t>XD deviation</t>
  </si>
  <si>
    <t>BD deviation</t>
  </si>
  <si>
    <t>Max %Price</t>
  </si>
  <si>
    <t>Max %Time</t>
  </si>
  <si>
    <t>Max %All</t>
  </si>
  <si>
    <t>Max %Price dev.</t>
  </si>
  <si>
    <t>Max %Time dev.</t>
  </si>
  <si>
    <t>X,A,B or C</t>
  </si>
  <si>
    <t>AB=CD deviation</t>
  </si>
  <si>
    <t>AB=CD in Fib. range</t>
  </si>
  <si>
    <t>XD in Fib. range</t>
  </si>
  <si>
    <t>BD in Fib. range</t>
  </si>
  <si>
    <t>1 = [1Fib/&lt;X%] [Yes/&lt;X%] [No/&lt;X%]</t>
  </si>
  <si>
    <r>
      <t xml:space="preserve">Rule: Maximum Validation is </t>
    </r>
    <r>
      <rPr>
        <u/>
        <sz val="6"/>
        <color theme="1"/>
        <rFont val="Calibri"/>
        <family val="2"/>
        <scheme val="minor"/>
      </rPr>
      <t>Valid (5)</t>
    </r>
    <r>
      <rPr>
        <sz val="6"/>
        <color theme="1"/>
        <rFont val="Calibri"/>
        <family val="2"/>
        <scheme val="minor"/>
      </rPr>
      <t xml:space="preserve"> / deviation and avg must be as small as possible / Valid2 and Valid3 are for confirmation</t>
    </r>
  </si>
  <si>
    <t>XD</t>
  </si>
  <si>
    <t>AC</t>
  </si>
  <si>
    <t>BD</t>
  </si>
  <si>
    <t>Mid X</t>
  </si>
  <si>
    <t>Mid Y</t>
  </si>
  <si>
    <t>D closest to Fib</t>
  </si>
  <si>
    <t>Set digit for Hight of Time Fib's on chart</t>
  </si>
  <si>
    <t>For display of ratios on purple dotted line on chart</t>
  </si>
  <si>
    <t>2 = [1Fib/&lt;X%] [Yes/&lt;X%] [Yes/&gt;X%]</t>
  </si>
  <si>
    <t>3 = [1Fib/&lt;X%] [Yes/&lt;X%] [Yes/&gt;X%] [No/&lt;X%]</t>
  </si>
  <si>
    <t>Everywhere below this empty row you see light green , you're allowed to make changes</t>
  </si>
  <si>
    <t>Above this row is the dashboard</t>
  </si>
  <si>
    <t>Below this row parrameters of each pattern are set individually</t>
  </si>
  <si>
    <t>Valid A</t>
  </si>
  <si>
    <t>Valid B</t>
  </si>
  <si>
    <t>Valid C</t>
  </si>
  <si>
    <t>Fib settings A</t>
  </si>
  <si>
    <t>Fib settings B</t>
  </si>
  <si>
    <t>Fib settings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</si>
</sst>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"/>
    <numFmt numFmtId="167" formatCode="0.000"/>
  </numFmts>
  <fonts count="3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rgb="FFFF0000"/>
      <name val="Edwardian Script ITC"/>
      <family val="4"/>
    </font>
    <font>
      <sz val="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u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66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477">
    <xf numFmtId="0" fontId="0" fillId="0" borderId="0" xfId="0"/>
    <xf numFmtId="0" fontId="22" fillId="0" borderId="0" xfId="0" applyFont="1" applyAlignment="1" applyProtection="1">
      <alignment wrapText="1"/>
    </xf>
    <xf numFmtId="0" fontId="0" fillId="0" borderId="0" xfId="0" applyProtection="1"/>
    <xf numFmtId="0" fontId="0" fillId="11" borderId="0" xfId="0" applyFill="1" applyBorder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Protection="1"/>
    <xf numFmtId="166" fontId="7" fillId="0" borderId="0" xfId="0" applyNumberFormat="1" applyFont="1" applyFill="1" applyBorder="1" applyAlignment="1" applyProtection="1">
      <alignment horizontal="center" vertical="center"/>
    </xf>
    <xf numFmtId="0" fontId="7" fillId="11" borderId="0" xfId="0" applyFont="1" applyFill="1" applyBorder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13" fillId="9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6" fillId="3" borderId="8" xfId="1" applyFont="1" applyFill="1" applyBorder="1" applyAlignment="1" applyProtection="1">
      <alignment horizontal="center" vertical="center"/>
    </xf>
    <xf numFmtId="0" fontId="26" fillId="0" borderId="0" xfId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2" fillId="5" borderId="58" xfId="0" applyFont="1" applyFill="1" applyBorder="1" applyAlignment="1" applyProtection="1">
      <alignment horizontal="center" vertical="center"/>
    </xf>
    <xf numFmtId="0" fontId="12" fillId="5" borderId="9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5" borderId="56" xfId="0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/>
    </xf>
    <xf numFmtId="166" fontId="9" fillId="16" borderId="30" xfId="0" applyNumberFormat="1" applyFont="1" applyFill="1" applyBorder="1" applyAlignment="1" applyProtection="1">
      <alignment horizontal="center" vertical="center"/>
    </xf>
    <xf numFmtId="166" fontId="9" fillId="16" borderId="25" xfId="0" applyNumberFormat="1" applyFont="1" applyFill="1" applyBorder="1" applyAlignment="1" applyProtection="1">
      <alignment horizontal="center" vertical="center"/>
    </xf>
    <xf numFmtId="166" fontId="9" fillId="16" borderId="0" xfId="0" applyNumberFormat="1" applyFont="1" applyFill="1" applyBorder="1" applyAlignment="1" applyProtection="1">
      <alignment horizontal="center" vertical="center"/>
    </xf>
    <xf numFmtId="166" fontId="9" fillId="16" borderId="26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6" fontId="9" fillId="16" borderId="19" xfId="0" applyNumberFormat="1" applyFont="1" applyFill="1" applyBorder="1" applyAlignment="1" applyProtection="1">
      <alignment horizontal="center" vertical="center"/>
    </xf>
    <xf numFmtId="166" fontId="9" fillId="16" borderId="56" xfId="0" applyNumberFormat="1" applyFont="1" applyFill="1" applyBorder="1" applyAlignment="1" applyProtection="1">
      <alignment horizontal="center" vertical="center"/>
    </xf>
    <xf numFmtId="166" fontId="9" fillId="16" borderId="27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6" fontId="9" fillId="16" borderId="29" xfId="0" applyNumberFormat="1" applyFont="1" applyFill="1" applyBorder="1" applyAlignment="1" applyProtection="1">
      <alignment horizontal="center" vertical="center"/>
    </xf>
    <xf numFmtId="166" fontId="9" fillId="16" borderId="57" xfId="0" applyNumberFormat="1" applyFont="1" applyFill="1" applyBorder="1" applyAlignment="1" applyProtection="1">
      <alignment horizontal="center" vertical="center"/>
    </xf>
    <xf numFmtId="0" fontId="9" fillId="21" borderId="19" xfId="0" applyNumberFormat="1" applyFont="1" applyFill="1" applyBorder="1" applyAlignment="1" applyProtection="1">
      <alignment horizontal="center" vertical="center"/>
    </xf>
    <xf numFmtId="1" fontId="9" fillId="21" borderId="25" xfId="0" applyNumberFormat="1" applyFont="1" applyFill="1" applyBorder="1" applyAlignment="1" applyProtection="1">
      <alignment horizontal="center" vertical="center"/>
    </xf>
    <xf numFmtId="1" fontId="9" fillId="21" borderId="27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/>
    </xf>
    <xf numFmtId="166" fontId="20" fillId="21" borderId="19" xfId="0" applyNumberFormat="1" applyFont="1" applyFill="1" applyBorder="1" applyAlignment="1" applyProtection="1">
      <alignment horizontal="center" vertical="center"/>
    </xf>
    <xf numFmtId="166" fontId="20" fillId="21" borderId="25" xfId="0" applyNumberFormat="1" applyFont="1" applyFill="1" applyBorder="1" applyAlignment="1" applyProtection="1">
      <alignment horizontal="center" vertical="center"/>
    </xf>
    <xf numFmtId="166" fontId="20" fillId="21" borderId="27" xfId="0" applyNumberFormat="1" applyFont="1" applyFill="1" applyBorder="1" applyAlignment="1" applyProtection="1">
      <alignment horizontal="center" vertical="center"/>
    </xf>
    <xf numFmtId="1" fontId="9" fillId="20" borderId="19" xfId="0" applyNumberFormat="1" applyFont="1" applyFill="1" applyBorder="1" applyAlignment="1" applyProtection="1">
      <alignment horizontal="center" vertical="center"/>
    </xf>
    <xf numFmtId="1" fontId="9" fillId="20" borderId="25" xfId="0" applyNumberFormat="1" applyFont="1" applyFill="1" applyBorder="1" applyAlignment="1" applyProtection="1">
      <alignment horizontal="center" vertical="center"/>
    </xf>
    <xf numFmtId="1" fontId="9" fillId="20" borderId="27" xfId="0" applyNumberFormat="1" applyFont="1" applyFill="1" applyBorder="1" applyAlignment="1" applyProtection="1">
      <alignment horizontal="center" vertical="center"/>
    </xf>
    <xf numFmtId="166" fontId="20" fillId="20" borderId="19" xfId="0" applyNumberFormat="1" applyFont="1" applyFill="1" applyBorder="1" applyAlignment="1" applyProtection="1">
      <alignment horizontal="center" vertical="center"/>
    </xf>
    <xf numFmtId="166" fontId="20" fillId="20" borderId="25" xfId="0" applyNumberFormat="1" applyFont="1" applyFill="1" applyBorder="1" applyAlignment="1" applyProtection="1">
      <alignment horizontal="center" vertical="center"/>
    </xf>
    <xf numFmtId="166" fontId="20" fillId="20" borderId="27" xfId="0" applyNumberFormat="1" applyFont="1" applyFill="1" applyBorder="1" applyAlignment="1" applyProtection="1">
      <alignment horizontal="center" vertical="center"/>
    </xf>
    <xf numFmtId="166" fontId="9" fillId="13" borderId="19" xfId="0" applyNumberFormat="1" applyFont="1" applyFill="1" applyBorder="1" applyAlignment="1" applyProtection="1">
      <alignment horizontal="center" vertical="center"/>
    </xf>
    <xf numFmtId="166" fontId="9" fillId="13" borderId="25" xfId="0" applyNumberFormat="1" applyFont="1" applyFill="1" applyBorder="1" applyAlignment="1" applyProtection="1">
      <alignment horizontal="center" vertical="center"/>
    </xf>
    <xf numFmtId="166" fontId="9" fillId="13" borderId="27" xfId="0" applyNumberFormat="1" applyFont="1" applyFill="1" applyBorder="1" applyAlignment="1" applyProtection="1">
      <alignment horizontal="center" vertical="center"/>
    </xf>
    <xf numFmtId="166" fontId="20" fillId="13" borderId="19" xfId="0" applyNumberFormat="1" applyFont="1" applyFill="1" applyBorder="1" applyAlignment="1" applyProtection="1">
      <alignment horizontal="center" vertical="center"/>
    </xf>
    <xf numFmtId="166" fontId="20" fillId="13" borderId="25" xfId="0" applyNumberFormat="1" applyFont="1" applyFill="1" applyBorder="1" applyAlignment="1" applyProtection="1">
      <alignment horizontal="center" vertical="center"/>
    </xf>
    <xf numFmtId="166" fontId="20" fillId="13" borderId="27" xfId="0" applyNumberFormat="1" applyFont="1" applyFill="1" applyBorder="1" applyAlignment="1" applyProtection="1">
      <alignment horizontal="center" vertical="center"/>
    </xf>
    <xf numFmtId="166" fontId="9" fillId="14" borderId="19" xfId="0" applyNumberFormat="1" applyFont="1" applyFill="1" applyBorder="1" applyAlignment="1" applyProtection="1">
      <alignment horizontal="center" vertical="center"/>
    </xf>
    <xf numFmtId="166" fontId="9" fillId="14" borderId="25" xfId="0" applyNumberFormat="1" applyFont="1" applyFill="1" applyBorder="1" applyAlignment="1" applyProtection="1">
      <alignment horizontal="center" vertical="center"/>
    </xf>
    <xf numFmtId="166" fontId="9" fillId="14" borderId="27" xfId="0" applyNumberFormat="1" applyFont="1" applyFill="1" applyBorder="1" applyAlignment="1" applyProtection="1">
      <alignment horizontal="center" vertical="center"/>
    </xf>
    <xf numFmtId="166" fontId="20" fillId="14" borderId="19" xfId="0" applyNumberFormat="1" applyFont="1" applyFill="1" applyBorder="1" applyAlignment="1" applyProtection="1">
      <alignment horizontal="center" vertical="center"/>
    </xf>
    <xf numFmtId="166" fontId="20" fillId="14" borderId="25" xfId="0" applyNumberFormat="1" applyFont="1" applyFill="1" applyBorder="1" applyAlignment="1" applyProtection="1">
      <alignment horizontal="center" vertical="center"/>
    </xf>
    <xf numFmtId="166" fontId="20" fillId="14" borderId="27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</xf>
    <xf numFmtId="166" fontId="20" fillId="6" borderId="19" xfId="0" applyNumberFormat="1" applyFont="1" applyFill="1" applyBorder="1" applyAlignment="1" applyProtection="1">
      <alignment horizontal="center" vertical="center"/>
    </xf>
    <xf numFmtId="166" fontId="20" fillId="6" borderId="25" xfId="0" applyNumberFormat="1" applyFont="1" applyFill="1" applyBorder="1" applyAlignment="1" applyProtection="1">
      <alignment horizontal="center" vertical="center"/>
    </xf>
    <xf numFmtId="166" fontId="20" fillId="6" borderId="27" xfId="0" applyNumberFormat="1" applyFont="1" applyFill="1" applyBorder="1" applyAlignment="1" applyProtection="1">
      <alignment horizontal="center" vertical="center"/>
    </xf>
    <xf numFmtId="1" fontId="26" fillId="3" borderId="91" xfId="1" applyNumberFormat="1" applyFill="1" applyBorder="1" applyAlignment="1" applyProtection="1">
      <alignment horizontal="center" vertical="center"/>
    </xf>
    <xf numFmtId="1" fontId="26" fillId="3" borderId="59" xfId="1" applyNumberFormat="1" applyFill="1" applyBorder="1" applyAlignment="1" applyProtection="1">
      <alignment horizontal="center" vertical="center"/>
    </xf>
    <xf numFmtId="1" fontId="26" fillId="0" borderId="0" xfId="1" applyNumberFormat="1" applyFill="1" applyBorder="1" applyAlignment="1" applyProtection="1">
      <alignment horizontal="center" vertical="center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6" fillId="0" borderId="79" xfId="0" applyFont="1" applyFill="1" applyBorder="1" applyAlignment="1" applyProtection="1">
      <alignment horizontal="center" vertical="center" wrapText="1"/>
    </xf>
    <xf numFmtId="0" fontId="24" fillId="2" borderId="7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34" fillId="0" borderId="28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3" fillId="0" borderId="0" xfId="0" applyFont="1" applyFill="1" applyBorder="1" applyAlignment="1" applyProtection="1">
      <alignment vertical="center"/>
    </xf>
    <xf numFmtId="165" fontId="13" fillId="7" borderId="9" xfId="0" applyNumberFormat="1" applyFont="1" applyFill="1" applyBorder="1" applyAlignment="1" applyProtection="1">
      <alignment horizontal="center" vertical="center"/>
    </xf>
    <xf numFmtId="165" fontId="13" fillId="7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7" fillId="0" borderId="0" xfId="0" applyFont="1" applyAlignment="1" applyProtection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3" fillId="9" borderId="11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167" fontId="0" fillId="5" borderId="11" xfId="0" applyNumberForma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9" fontId="3" fillId="0" borderId="5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3" fillId="9" borderId="9" xfId="0" applyFont="1" applyFill="1" applyBorder="1" applyAlignment="1" applyProtection="1">
      <alignment horizontal="center" vertical="center"/>
    </xf>
    <xf numFmtId="0" fontId="0" fillId="5" borderId="58" xfId="0" applyFill="1" applyBorder="1" applyAlignment="1" applyProtection="1">
      <alignment horizontal="center" vertical="center"/>
    </xf>
    <xf numFmtId="0" fontId="8" fillId="16" borderId="13" xfId="0" applyFont="1" applyFill="1" applyBorder="1" applyAlignment="1" applyProtection="1">
      <alignment horizontal="center" vertical="center"/>
    </xf>
    <xf numFmtId="0" fontId="8" fillId="16" borderId="14" xfId="0" applyFont="1" applyFill="1" applyBorder="1" applyAlignment="1" applyProtection="1">
      <alignment horizontal="center" vertical="center"/>
    </xf>
    <xf numFmtId="0" fontId="8" fillId="16" borderId="18" xfId="0" applyFont="1" applyFill="1" applyBorder="1" applyAlignment="1" applyProtection="1">
      <alignment horizontal="center" vertical="center"/>
    </xf>
    <xf numFmtId="165" fontId="8" fillId="4" borderId="24" xfId="0" applyNumberFormat="1" applyFont="1" applyFill="1" applyBorder="1" applyAlignment="1" applyProtection="1">
      <alignment horizontal="center" vertical="center"/>
    </xf>
    <xf numFmtId="165" fontId="8" fillId="4" borderId="18" xfId="0" applyNumberFormat="1" applyFont="1" applyFill="1" applyBorder="1" applyAlignment="1" applyProtection="1">
      <alignment horizontal="center" vertical="center"/>
    </xf>
    <xf numFmtId="165" fontId="8" fillId="4" borderId="15" xfId="0" applyNumberFormat="1" applyFont="1" applyFill="1" applyBorder="1" applyAlignment="1" applyProtection="1">
      <alignment horizontal="center" vertical="center"/>
    </xf>
    <xf numFmtId="165" fontId="8" fillId="6" borderId="20" xfId="0" applyNumberFormat="1" applyFont="1" applyFill="1" applyBorder="1" applyAlignment="1" applyProtection="1">
      <alignment horizontal="center" vertical="center"/>
    </xf>
    <xf numFmtId="165" fontId="8" fillId="6" borderId="21" xfId="0" applyNumberFormat="1" applyFont="1" applyFill="1" applyBorder="1" applyAlignment="1" applyProtection="1">
      <alignment horizontal="center" vertical="center"/>
    </xf>
    <xf numFmtId="165" fontId="8" fillId="6" borderId="61" xfId="0" applyNumberFormat="1" applyFont="1" applyFill="1" applyBorder="1" applyAlignment="1" applyProtection="1">
      <alignment horizontal="center" vertic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165" fontId="8" fillId="0" borderId="22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8" fillId="16" borderId="16" xfId="0" applyFont="1" applyFill="1" applyBorder="1" applyAlignment="1" applyProtection="1">
      <alignment horizontal="center" vertical="center"/>
    </xf>
    <xf numFmtId="0" fontId="8" fillId="16" borderId="11" xfId="0" applyFont="1" applyFill="1" applyBorder="1" applyAlignment="1" applyProtection="1">
      <alignment horizontal="center" vertical="center"/>
    </xf>
    <xf numFmtId="0" fontId="8" fillId="16" borderId="50" xfId="0" applyFont="1" applyFill="1" applyBorder="1" applyAlignment="1" applyProtection="1">
      <alignment horizontal="center" vertical="center"/>
    </xf>
    <xf numFmtId="165" fontId="8" fillId="4" borderId="19" xfId="0" applyNumberFormat="1" applyFont="1" applyFill="1" applyBorder="1" applyAlignment="1" applyProtection="1">
      <alignment horizontal="center" vertical="center"/>
    </xf>
    <xf numFmtId="165" fontId="8" fillId="4" borderId="11" xfId="0" applyNumberFormat="1" applyFont="1" applyFill="1" applyBorder="1" applyAlignment="1" applyProtection="1">
      <alignment horizontal="center" vertical="center"/>
    </xf>
    <xf numFmtId="165" fontId="8" fillId="4" borderId="63" xfId="0" applyNumberFormat="1" applyFont="1" applyFill="1" applyBorder="1" applyAlignment="1" applyProtection="1">
      <alignment horizontal="center" vertical="center"/>
    </xf>
    <xf numFmtId="165" fontId="8" fillId="6" borderId="16" xfId="0" applyNumberFormat="1" applyFont="1" applyFill="1" applyBorder="1" applyAlignment="1" applyProtection="1">
      <alignment horizontal="center" vertical="center"/>
    </xf>
    <xf numFmtId="165" fontId="8" fillId="6" borderId="11" xfId="0" applyNumberFormat="1" applyFont="1" applyFill="1" applyBorder="1" applyAlignment="1" applyProtection="1">
      <alignment horizontal="center" vertical="center"/>
    </xf>
    <xf numFmtId="165" fontId="8" fillId="6" borderId="50" xfId="0" applyNumberFormat="1" applyFont="1" applyFill="1" applyBorder="1" applyAlignment="1" applyProtection="1">
      <alignment horizontal="center" vertical="center"/>
    </xf>
    <xf numFmtId="165" fontId="8" fillId="0" borderId="16" xfId="0" applyNumberFormat="1" applyFont="1" applyFill="1" applyBorder="1" applyAlignment="1" applyProtection="1">
      <alignment horizontal="center" vertical="center"/>
    </xf>
    <xf numFmtId="165" fontId="8" fillId="0" borderId="17" xfId="0" applyNumberFormat="1" applyFont="1" applyBorder="1" applyAlignment="1" applyProtection="1">
      <alignment horizontal="center" vertical="center"/>
    </xf>
    <xf numFmtId="165" fontId="8" fillId="0" borderId="62" xfId="0" applyNumberFormat="1" applyFont="1" applyFill="1" applyBorder="1" applyAlignment="1" applyProtection="1">
      <alignment horizontal="center" vertical="center"/>
    </xf>
    <xf numFmtId="165" fontId="8" fillId="4" borderId="16" xfId="0" applyNumberFormat="1" applyFont="1" applyFill="1" applyBorder="1" applyAlignment="1" applyProtection="1">
      <alignment horizontal="center" vertical="center"/>
    </xf>
    <xf numFmtId="165" fontId="8" fillId="4" borderId="17" xfId="0" applyNumberFormat="1" applyFont="1" applyFill="1" applyBorder="1" applyAlignment="1" applyProtection="1">
      <alignment horizontal="center" vertical="center"/>
    </xf>
    <xf numFmtId="0" fontId="13" fillId="9" borderId="2" xfId="0" applyFont="1" applyFill="1" applyBorder="1" applyAlignment="1" applyProtection="1">
      <alignment horizontal="center" vertical="center"/>
    </xf>
    <xf numFmtId="0" fontId="0" fillId="5" borderId="67" xfId="0" applyFill="1" applyBorder="1" applyAlignment="1" applyProtection="1">
      <alignment horizontal="center" vertical="center"/>
    </xf>
    <xf numFmtId="0" fontId="8" fillId="16" borderId="32" xfId="0" applyFont="1" applyFill="1" applyBorder="1" applyAlignment="1" applyProtection="1">
      <alignment horizontal="center" vertical="center"/>
    </xf>
    <xf numFmtId="0" fontId="8" fillId="16" borderId="33" xfId="0" applyFont="1" applyFill="1" applyBorder="1" applyAlignment="1" applyProtection="1">
      <alignment horizontal="center" vertical="center"/>
    </xf>
    <xf numFmtId="0" fontId="8" fillId="16" borderId="36" xfId="0" applyFont="1" applyFill="1" applyBorder="1" applyAlignment="1" applyProtection="1">
      <alignment horizontal="center" vertical="center"/>
    </xf>
    <xf numFmtId="165" fontId="8" fillId="4" borderId="32" xfId="0" applyNumberFormat="1" applyFont="1" applyFill="1" applyBorder="1" applyAlignment="1" applyProtection="1">
      <alignment horizontal="center" vertical="center"/>
    </xf>
    <xf numFmtId="165" fontId="8" fillId="4" borderId="36" xfId="0" applyNumberFormat="1" applyFont="1" applyFill="1" applyBorder="1" applyAlignment="1" applyProtection="1">
      <alignment horizontal="center" vertical="center"/>
    </xf>
    <xf numFmtId="165" fontId="8" fillId="4" borderId="34" xfId="0" applyNumberFormat="1" applyFont="1" applyFill="1" applyBorder="1" applyAlignment="1" applyProtection="1">
      <alignment horizontal="center" vertical="center"/>
    </xf>
    <xf numFmtId="165" fontId="8" fillId="6" borderId="37" xfId="0" applyNumberFormat="1" applyFont="1" applyFill="1" applyBorder="1" applyAlignment="1" applyProtection="1">
      <alignment horizontal="center" vertical="center"/>
    </xf>
    <xf numFmtId="165" fontId="8" fillId="6" borderId="38" xfId="0" applyNumberFormat="1" applyFont="1" applyFill="1" applyBorder="1" applyAlignment="1" applyProtection="1">
      <alignment horizontal="center" vertical="center"/>
    </xf>
    <xf numFmtId="165" fontId="8" fillId="6" borderId="70" xfId="0" applyNumberFormat="1" applyFont="1" applyFill="1" applyBorder="1" applyAlignment="1" applyProtection="1">
      <alignment horizontal="center" vertical="center"/>
    </xf>
    <xf numFmtId="165" fontId="8" fillId="0" borderId="32" xfId="0" applyNumberFormat="1" applyFont="1" applyFill="1" applyBorder="1" applyAlignment="1" applyProtection="1">
      <alignment horizontal="center" vertical="center"/>
    </xf>
    <xf numFmtId="165" fontId="8" fillId="0" borderId="34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5" borderId="43" xfId="0" applyFill="1" applyBorder="1" applyAlignment="1" applyProtection="1">
      <alignment horizontal="center" vertical="center"/>
    </xf>
    <xf numFmtId="0" fontId="8" fillId="17" borderId="55" xfId="0" applyFont="1" applyFill="1" applyBorder="1" applyAlignment="1" applyProtection="1">
      <alignment horizontal="center" vertical="center"/>
    </xf>
    <xf numFmtId="0" fontId="8" fillId="17" borderId="51" xfId="0" applyFont="1" applyFill="1" applyBorder="1" applyAlignment="1" applyProtection="1">
      <alignment horizontal="center" vertical="center"/>
    </xf>
    <xf numFmtId="0" fontId="8" fillId="17" borderId="60" xfId="0" applyFont="1" applyFill="1" applyBorder="1" applyAlignment="1" applyProtection="1">
      <alignment horizontal="center" vertical="center"/>
    </xf>
    <xf numFmtId="1" fontId="8" fillId="4" borderId="35" xfId="0" applyNumberFormat="1" applyFont="1" applyFill="1" applyBorder="1" applyAlignment="1" applyProtection="1">
      <alignment horizontal="center" vertical="center"/>
    </xf>
    <xf numFmtId="1" fontId="8" fillId="4" borderId="49" xfId="0" applyNumberFormat="1" applyFont="1" applyFill="1" applyBorder="1" applyAlignment="1" applyProtection="1">
      <alignment horizontal="center" vertical="center"/>
    </xf>
    <xf numFmtId="1" fontId="8" fillId="4" borderId="47" xfId="0" applyNumberFormat="1" applyFont="1" applyFill="1" applyBorder="1" applyAlignment="1" applyProtection="1">
      <alignment horizontal="center" vertical="center"/>
    </xf>
    <xf numFmtId="1" fontId="8" fillId="4" borderId="68" xfId="0" applyNumberFormat="1" applyFont="1" applyFill="1" applyBorder="1" applyAlignment="1" applyProtection="1">
      <alignment horizontal="center" vertical="center"/>
    </xf>
    <xf numFmtId="1" fontId="8" fillId="6" borderId="55" xfId="0" applyNumberFormat="1" applyFont="1" applyFill="1" applyBorder="1" applyAlignment="1" applyProtection="1">
      <alignment horizontal="center" vertical="center"/>
    </xf>
    <xf numFmtId="1" fontId="8" fillId="6" borderId="66" xfId="0" applyNumberFormat="1" applyFont="1" applyFill="1" applyBorder="1" applyAlignment="1" applyProtection="1">
      <alignment horizontal="center" vertical="center"/>
    </xf>
    <xf numFmtId="1" fontId="8" fillId="6" borderId="57" xfId="0" applyNumberFormat="1" applyFont="1" applyFill="1" applyBorder="1" applyAlignment="1" applyProtection="1">
      <alignment horizontal="center" vertical="center"/>
    </xf>
    <xf numFmtId="165" fontId="8" fillId="19" borderId="55" xfId="0" applyNumberFormat="1" applyFont="1" applyFill="1" applyBorder="1" applyAlignment="1" applyProtection="1">
      <alignment horizontal="center" vertical="center"/>
    </xf>
    <xf numFmtId="165" fontId="8" fillId="19" borderId="72" xfId="0" applyNumberFormat="1" applyFont="1" applyFill="1" applyBorder="1" applyAlignment="1" applyProtection="1">
      <alignment horizontal="center" vertical="center"/>
    </xf>
    <xf numFmtId="0" fontId="8" fillId="17" borderId="16" xfId="0" applyFont="1" applyFill="1" applyBorder="1" applyAlignment="1" applyProtection="1">
      <alignment horizontal="center" vertical="center"/>
    </xf>
    <xf numFmtId="0" fontId="8" fillId="17" borderId="11" xfId="0" applyFont="1" applyFill="1" applyBorder="1" applyAlignment="1" applyProtection="1">
      <alignment horizontal="center" vertical="center"/>
    </xf>
    <xf numFmtId="0" fontId="8" fillId="17" borderId="17" xfId="0" applyFont="1" applyFill="1" applyBorder="1" applyAlignment="1" applyProtection="1">
      <alignment horizontal="center" vertical="center"/>
    </xf>
    <xf numFmtId="1" fontId="8" fillId="4" borderId="19" xfId="0" applyNumberFormat="1" applyFont="1" applyFill="1" applyBorder="1" applyAlignment="1" applyProtection="1">
      <alignment horizontal="center" vertical="center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77" xfId="0" applyNumberFormat="1" applyFont="1" applyFill="1" applyBorder="1" applyAlignment="1" applyProtection="1">
      <alignment horizontal="center" vertical="center"/>
    </xf>
    <xf numFmtId="1" fontId="8" fillId="6" borderId="16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center" vertical="center"/>
    </xf>
    <xf numFmtId="1" fontId="8" fillId="6" borderId="17" xfId="0" applyNumberFormat="1" applyFont="1" applyFill="1" applyBorder="1" applyAlignment="1" applyProtection="1">
      <alignment horizontal="center" vertical="center"/>
    </xf>
    <xf numFmtId="1" fontId="8" fillId="4" borderId="76" xfId="0" applyNumberFormat="1" applyFont="1" applyFill="1" applyBorder="1" applyAlignment="1" applyProtection="1">
      <alignment horizontal="center" vertical="center"/>
    </xf>
    <xf numFmtId="1" fontId="8" fillId="4" borderId="60" xfId="0" applyNumberFormat="1" applyFont="1" applyFill="1" applyBorder="1" applyAlignment="1" applyProtection="1">
      <alignment horizontal="center" vertical="center"/>
    </xf>
    <xf numFmtId="1" fontId="8" fillId="4" borderId="51" xfId="0" applyNumberFormat="1" applyFont="1" applyFill="1" applyBorder="1" applyAlignment="1" applyProtection="1">
      <alignment horizontal="center" vertical="center"/>
    </xf>
    <xf numFmtId="1" fontId="8" fillId="4" borderId="29" xfId="0" applyNumberFormat="1" applyFont="1" applyFill="1" applyBorder="1" applyAlignment="1" applyProtection="1">
      <alignment horizontal="center" vertical="center"/>
    </xf>
    <xf numFmtId="165" fontId="8" fillId="19" borderId="16" xfId="0" applyNumberFormat="1" applyFont="1" applyFill="1" applyBorder="1" applyAlignment="1" applyProtection="1">
      <alignment horizontal="center" vertical="center"/>
    </xf>
    <xf numFmtId="165" fontId="8" fillId="19" borderId="75" xfId="0" applyNumberFormat="1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8" fillId="17" borderId="62" xfId="0" applyFont="1" applyFill="1" applyBorder="1" applyAlignment="1" applyProtection="1">
      <alignment horizontal="center" vertical="center"/>
    </xf>
    <xf numFmtId="0" fontId="8" fillId="17" borderId="73" xfId="0" applyFont="1" applyFill="1" applyBorder="1" applyAlignment="1" applyProtection="1">
      <alignment horizontal="center" vertical="center"/>
    </xf>
    <xf numFmtId="0" fontId="8" fillId="17" borderId="74" xfId="0" applyFont="1" applyFill="1" applyBorder="1" applyAlignment="1" applyProtection="1">
      <alignment horizontal="center" vertical="center"/>
    </xf>
    <xf numFmtId="1" fontId="8" fillId="4" borderId="62" xfId="0" applyNumberFormat="1" applyFont="1" applyFill="1" applyBorder="1" applyAlignment="1" applyProtection="1">
      <alignment horizontal="center" vertical="center"/>
    </xf>
    <xf numFmtId="1" fontId="8" fillId="4" borderId="65" xfId="0" applyNumberFormat="1" applyFont="1" applyFill="1" applyBorder="1" applyAlignment="1" applyProtection="1">
      <alignment horizontal="center" vertical="center"/>
    </xf>
    <xf numFmtId="1" fontId="8" fillId="4" borderId="28" xfId="0" applyNumberFormat="1" applyFont="1" applyFill="1" applyBorder="1" applyAlignment="1" applyProtection="1">
      <alignment horizontal="center" vertical="center"/>
    </xf>
    <xf numFmtId="1" fontId="8" fillId="6" borderId="62" xfId="0" applyNumberFormat="1" applyFont="1" applyFill="1" applyBorder="1" applyAlignment="1" applyProtection="1">
      <alignment horizontal="center" vertical="center"/>
    </xf>
    <xf numFmtId="1" fontId="8" fillId="6" borderId="73" xfId="0" applyNumberFormat="1" applyFont="1" applyFill="1" applyBorder="1" applyAlignment="1" applyProtection="1">
      <alignment horizontal="center" vertical="center"/>
    </xf>
    <xf numFmtId="1" fontId="8" fillId="6" borderId="74" xfId="0" applyNumberFormat="1" applyFont="1" applyFill="1" applyBorder="1" applyAlignment="1" applyProtection="1">
      <alignment horizontal="center" vertical="center"/>
    </xf>
    <xf numFmtId="165" fontId="8" fillId="19" borderId="62" xfId="0" applyNumberFormat="1" applyFont="1" applyFill="1" applyBorder="1" applyAlignment="1" applyProtection="1">
      <alignment horizontal="center" vertical="center"/>
    </xf>
    <xf numFmtId="165" fontId="8" fillId="19" borderId="64" xfId="0" applyNumberFormat="1" applyFont="1" applyFill="1" applyBorder="1" applyAlignment="1" applyProtection="1">
      <alignment horizontal="center" vertical="center"/>
    </xf>
    <xf numFmtId="0" fontId="0" fillId="5" borderId="59" xfId="0" applyFill="1" applyBorder="1" applyAlignment="1" applyProtection="1">
      <alignment horizontal="center" vertical="center"/>
    </xf>
    <xf numFmtId="0" fontId="8" fillId="17" borderId="52" xfId="0" applyFont="1" applyFill="1" applyBorder="1" applyAlignment="1" applyProtection="1">
      <alignment horizontal="center" vertical="center"/>
    </xf>
    <xf numFmtId="0" fontId="8" fillId="17" borderId="53" xfId="0" applyFont="1" applyFill="1" applyBorder="1" applyAlignment="1" applyProtection="1">
      <alignment horizontal="center" vertical="center"/>
    </xf>
    <xf numFmtId="0" fontId="8" fillId="17" borderId="54" xfId="0" applyFont="1" applyFill="1" applyBorder="1" applyAlignment="1" applyProtection="1">
      <alignment horizontal="center" vertical="center"/>
    </xf>
    <xf numFmtId="1" fontId="8" fillId="4" borderId="52" xfId="0" applyNumberFormat="1" applyFont="1" applyFill="1" applyBorder="1" applyAlignment="1" applyProtection="1">
      <alignment horizontal="center" vertical="center"/>
    </xf>
    <xf numFmtId="1" fontId="8" fillId="4" borderId="53" xfId="0" applyNumberFormat="1" applyFont="1" applyFill="1" applyBorder="1" applyAlignment="1" applyProtection="1">
      <alignment horizontal="center" vertical="center"/>
    </xf>
    <xf numFmtId="1" fontId="8" fillId="4" borderId="54" xfId="0" applyNumberFormat="1" applyFont="1" applyFill="1" applyBorder="1" applyAlignment="1" applyProtection="1">
      <alignment horizontal="center" vertical="center"/>
    </xf>
    <xf numFmtId="1" fontId="8" fillId="6" borderId="52" xfId="0" applyNumberFormat="1" applyFont="1" applyFill="1" applyBorder="1" applyAlignment="1" applyProtection="1">
      <alignment horizontal="center" vertical="center"/>
    </xf>
    <xf numFmtId="1" fontId="8" fillId="6" borderId="69" xfId="0" applyNumberFormat="1" applyFont="1" applyFill="1" applyBorder="1" applyAlignment="1" applyProtection="1">
      <alignment horizontal="center" vertical="center"/>
    </xf>
    <xf numFmtId="1" fontId="8" fillId="6" borderId="71" xfId="0" applyNumberFormat="1" applyFont="1" applyFill="1" applyBorder="1" applyAlignment="1" applyProtection="1">
      <alignment horizontal="center" vertical="center"/>
    </xf>
    <xf numFmtId="165" fontId="8" fillId="19" borderId="52" xfId="0" applyNumberFormat="1" applyFont="1" applyFill="1" applyBorder="1" applyAlignment="1" applyProtection="1">
      <alignment horizontal="center" vertical="center"/>
    </xf>
    <xf numFmtId="165" fontId="8" fillId="19" borderId="54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/>
    <xf numFmtId="0" fontId="0" fillId="0" borderId="6" xfId="0" applyBorder="1" applyProtection="1"/>
    <xf numFmtId="164" fontId="0" fillId="0" borderId="0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6" fontId="8" fillId="6" borderId="2" xfId="0" applyNumberFormat="1" applyFont="1" applyFill="1" applyBorder="1" applyAlignment="1" applyProtection="1">
      <alignment horizontal="center" vertical="center"/>
    </xf>
    <xf numFmtId="166" fontId="8" fillId="6" borderId="23" xfId="0" applyNumberFormat="1" applyFont="1" applyFill="1" applyBorder="1" applyAlignment="1" applyProtection="1">
      <alignment horizontal="center" vertical="center"/>
    </xf>
    <xf numFmtId="166" fontId="8" fillId="6" borderId="3" xfId="0" applyNumberFormat="1" applyFont="1" applyFill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166" fontId="12" fillId="5" borderId="1" xfId="0" applyNumberFormat="1" applyFont="1" applyFill="1" applyBorder="1" applyAlignment="1" applyProtection="1">
      <alignment horizontal="center" vertical="center"/>
    </xf>
    <xf numFmtId="166" fontId="12" fillId="5" borderId="4" xfId="0" applyNumberFormat="1" applyFont="1" applyFill="1" applyBorder="1" applyAlignment="1" applyProtection="1">
      <alignment horizontal="center" vertical="center"/>
    </xf>
    <xf numFmtId="166" fontId="0" fillId="0" borderId="0" xfId="0" applyNumberFormat="1" applyProtection="1"/>
    <xf numFmtId="0" fontId="0" fillId="3" borderId="21" xfId="0" applyFill="1" applyBorder="1" applyAlignment="1" applyProtection="1">
      <alignment horizontal="center" vertical="center"/>
    </xf>
    <xf numFmtId="0" fontId="8" fillId="18" borderId="11" xfId="0" applyFont="1" applyFill="1" applyBorder="1" applyAlignment="1" applyProtection="1">
      <alignment horizontal="center" vertical="center"/>
    </xf>
    <xf numFmtId="0" fontId="8" fillId="18" borderId="61" xfId="0" applyFont="1" applyFill="1" applyBorder="1" applyAlignment="1" applyProtection="1">
      <alignment horizontal="center" vertical="center"/>
    </xf>
    <xf numFmtId="0" fontId="8" fillId="18" borderId="14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166" fontId="4" fillId="5" borderId="9" xfId="0" applyNumberFormat="1" applyFont="1" applyFill="1" applyBorder="1" applyAlignment="1" applyProtection="1">
      <alignment horizontal="center" vertical="center"/>
    </xf>
    <xf numFmtId="166" fontId="8" fillId="6" borderId="19" xfId="0" applyNumberFormat="1" applyFont="1" applyFill="1" applyBorder="1" applyAlignment="1" applyProtection="1">
      <alignment horizontal="center" vertical="center"/>
    </xf>
    <xf numFmtId="166" fontId="8" fillId="6" borderId="25" xfId="0" applyNumberFormat="1" applyFont="1" applyFill="1" applyBorder="1" applyAlignment="1" applyProtection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166" fontId="12" fillId="5" borderId="10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/>
    </xf>
    <xf numFmtId="166" fontId="8" fillId="13" borderId="19" xfId="0" applyNumberFormat="1" applyFont="1" applyFill="1" applyBorder="1" applyAlignment="1" applyProtection="1">
      <alignment horizontal="center" vertical="center"/>
    </xf>
    <xf numFmtId="166" fontId="8" fillId="13" borderId="25" xfId="0" applyNumberFormat="1" applyFont="1" applyFill="1" applyBorder="1" applyAlignment="1" applyProtection="1">
      <alignment horizontal="center" vertical="center"/>
    </xf>
    <xf numFmtId="166" fontId="8" fillId="13" borderId="27" xfId="0" applyNumberFormat="1" applyFont="1" applyFill="1" applyBorder="1" applyAlignment="1" applyProtection="1">
      <alignment horizontal="center" vertical="center"/>
    </xf>
    <xf numFmtId="166" fontId="12" fillId="3" borderId="2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7" fillId="10" borderId="10" xfId="0" applyNumberFormat="1" applyFont="1" applyFill="1" applyBorder="1" applyAlignment="1" applyProtection="1">
      <alignment horizontal="center" vertical="center"/>
    </xf>
    <xf numFmtId="166" fontId="4" fillId="5" borderId="5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/>
    <xf numFmtId="166" fontId="8" fillId="13" borderId="41" xfId="0" applyNumberFormat="1" applyFont="1" applyFill="1" applyBorder="1" applyAlignment="1" applyProtection="1">
      <alignment horizontal="center" vertical="center"/>
    </xf>
    <xf numFmtId="166" fontId="8" fillId="13" borderId="40" xfId="0" applyNumberFormat="1" applyFont="1" applyFill="1" applyBorder="1" applyAlignment="1" applyProtection="1">
      <alignment horizontal="center" vertical="center"/>
    </xf>
    <xf numFmtId="166" fontId="8" fillId="13" borderId="42" xfId="0" applyNumberFormat="1" applyFont="1" applyFill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166" fontId="12" fillId="5" borderId="39" xfId="0" applyNumberFormat="1" applyFont="1" applyFill="1" applyBorder="1" applyAlignment="1" applyProtection="1">
      <alignment horizontal="center" vertical="center"/>
    </xf>
    <xf numFmtId="1" fontId="17" fillId="10" borderId="39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166" fontId="8" fillId="14" borderId="43" xfId="0" applyNumberFormat="1" applyFont="1" applyFill="1" applyBorder="1" applyAlignment="1" applyProtection="1">
      <alignment horizontal="center" vertical="center"/>
    </xf>
    <xf numFmtId="0" fontId="8" fillId="19" borderId="56" xfId="0" applyFont="1" applyFill="1" applyBorder="1" applyAlignment="1" applyProtection="1">
      <alignment horizontal="center" vertical="center"/>
    </xf>
    <xf numFmtId="166" fontId="12" fillId="5" borderId="8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/>
    <xf numFmtId="166" fontId="8" fillId="14" borderId="25" xfId="0" applyNumberFormat="1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8" fillId="19" borderId="25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166" fontId="8" fillId="14" borderId="8" xfId="0" applyNumberFormat="1" applyFont="1" applyFill="1" applyBorder="1" applyAlignment="1" applyProtection="1">
      <alignment horizontal="center" vertical="center"/>
    </xf>
    <xf numFmtId="0" fontId="8" fillId="19" borderId="59" xfId="0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/>
    </xf>
    <xf numFmtId="0" fontId="30" fillId="0" borderId="87" xfId="0" applyFont="1" applyFill="1" applyBorder="1" applyAlignment="1" applyProtection="1">
      <alignment horizontal="center"/>
    </xf>
    <xf numFmtId="0" fontId="30" fillId="0" borderId="89" xfId="0" applyFont="1" applyFill="1" applyBorder="1" applyAlignment="1" applyProtection="1">
      <alignment horizontal="center"/>
    </xf>
    <xf numFmtId="0" fontId="30" fillId="0" borderId="8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6" fillId="11" borderId="0" xfId="0" applyFont="1" applyFill="1" applyBorder="1" applyAlignment="1" applyProtection="1">
      <alignment horizontal="left" vertical="center"/>
    </xf>
    <xf numFmtId="0" fontId="5" fillId="11" borderId="0" xfId="0" applyFont="1" applyFill="1" applyBorder="1" applyAlignment="1" applyProtection="1">
      <alignment horizontal="center" vertical="center"/>
    </xf>
    <xf numFmtId="165" fontId="0" fillId="11" borderId="0" xfId="0" applyNumberFormat="1" applyFill="1" applyBorder="1" applyAlignment="1" applyProtection="1"/>
    <xf numFmtId="165" fontId="6" fillId="11" borderId="0" xfId="0" applyNumberFormat="1" applyFont="1" applyFill="1" applyBorder="1" applyAlignment="1" applyProtection="1">
      <alignment horizontal="left" vertical="center"/>
    </xf>
    <xf numFmtId="0" fontId="0" fillId="11" borderId="0" xfId="0" applyFill="1" applyProtection="1"/>
    <xf numFmtId="0" fontId="0" fillId="11" borderId="0" xfId="0" applyFill="1" applyBorder="1" applyAlignment="1" applyProtection="1">
      <alignment horizontal="center"/>
    </xf>
    <xf numFmtId="166" fontId="4" fillId="11" borderId="0" xfId="0" applyNumberFormat="1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vertical="center"/>
    </xf>
    <xf numFmtId="0" fontId="3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/>
    </xf>
    <xf numFmtId="0" fontId="10" fillId="15" borderId="1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23" borderId="9" xfId="0" applyFont="1" applyFill="1" applyBorder="1" applyAlignment="1" applyProtection="1">
      <alignment horizontal="center" vertical="center"/>
      <protection locked="0"/>
    </xf>
    <xf numFmtId="0" fontId="0" fillId="18" borderId="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/>
    </xf>
    <xf numFmtId="0" fontId="0" fillId="0" borderId="26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18" borderId="26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/>
    </xf>
    <xf numFmtId="0" fontId="8" fillId="12" borderId="13" xfId="0" applyFont="1" applyFill="1" applyBorder="1" applyAlignment="1" applyProtection="1">
      <alignment horizontal="center" vertical="center"/>
      <protection locked="0"/>
    </xf>
    <xf numFmtId="0" fontId="8" fillId="12" borderId="14" xfId="0" applyFont="1" applyFill="1" applyBorder="1" applyAlignment="1" applyProtection="1">
      <alignment horizontal="center" vertical="center"/>
      <protection locked="0"/>
    </xf>
    <xf numFmtId="0" fontId="8" fillId="12" borderId="15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</xf>
    <xf numFmtId="0" fontId="8" fillId="12" borderId="16" xfId="0" applyFont="1" applyFill="1" applyBorder="1" applyAlignment="1" applyProtection="1">
      <alignment horizontal="center" vertical="center"/>
      <protection locked="0"/>
    </xf>
    <xf numFmtId="0" fontId="8" fillId="12" borderId="11" xfId="0" applyFont="1" applyFill="1" applyBorder="1" applyAlignment="1" applyProtection="1">
      <alignment horizontal="center" vertical="center"/>
      <protection locked="0"/>
    </xf>
    <xf numFmtId="0" fontId="8" fillId="12" borderId="17" xfId="0" applyFont="1" applyFill="1" applyBorder="1" applyAlignment="1" applyProtection="1">
      <alignment horizontal="center" vertical="center"/>
      <protection locked="0"/>
    </xf>
    <xf numFmtId="165" fontId="8" fillId="4" borderId="27" xfId="0" applyNumberFormat="1" applyFont="1" applyFill="1" applyBorder="1" applyAlignment="1" applyProtection="1">
      <alignment horizontal="center" vertical="center"/>
    </xf>
    <xf numFmtId="165" fontId="8" fillId="4" borderId="50" xfId="0" applyNumberFormat="1" applyFont="1" applyFill="1" applyBorder="1" applyAlignment="1" applyProtection="1">
      <alignment horizontal="center" vertical="center"/>
    </xf>
    <xf numFmtId="0" fontId="13" fillId="9" borderId="23" xfId="0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8" fillId="12" borderId="32" xfId="0" applyFont="1" applyFill="1" applyBorder="1" applyAlignment="1" applyProtection="1">
      <alignment horizontal="center" vertical="center"/>
      <protection locked="0"/>
    </xf>
    <xf numFmtId="0" fontId="8" fillId="12" borderId="33" xfId="0" applyFont="1" applyFill="1" applyBorder="1" applyAlignment="1" applyProtection="1">
      <alignment horizontal="center" vertical="center"/>
      <protection locked="0"/>
    </xf>
    <xf numFmtId="0" fontId="8" fillId="12" borderId="34" xfId="0" applyFont="1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</xf>
    <xf numFmtId="0" fontId="8" fillId="15" borderId="35" xfId="0" applyFont="1" applyFill="1" applyBorder="1" applyAlignment="1" applyProtection="1">
      <alignment horizontal="center" vertical="center"/>
      <protection locked="0"/>
    </xf>
    <xf numFmtId="0" fontId="8" fillId="15" borderId="47" xfId="0" applyFont="1" applyFill="1" applyBorder="1" applyAlignment="1" applyProtection="1">
      <alignment horizontal="center" vertical="center"/>
      <protection locked="0"/>
    </xf>
    <xf numFmtId="0" fontId="8" fillId="15" borderId="48" xfId="0" applyFont="1" applyFill="1" applyBorder="1" applyAlignment="1" applyProtection="1">
      <alignment horizontal="center" vertical="center"/>
      <protection locked="0"/>
    </xf>
    <xf numFmtId="1" fontId="8" fillId="4" borderId="78" xfId="0" applyNumberFormat="1" applyFont="1" applyFill="1" applyBorder="1" applyAlignment="1" applyProtection="1">
      <alignment horizontal="center" vertical="center"/>
    </xf>
    <xf numFmtId="0" fontId="0" fillId="5" borderId="76" xfId="0" applyFill="1" applyBorder="1" applyAlignment="1" applyProtection="1">
      <alignment horizontal="center" vertical="center"/>
    </xf>
    <xf numFmtId="0" fontId="8" fillId="15" borderId="76" xfId="0" applyFont="1" applyFill="1" applyBorder="1" applyAlignment="1" applyProtection="1">
      <alignment horizontal="center" vertical="center"/>
      <protection locked="0"/>
    </xf>
    <xf numFmtId="0" fontId="8" fillId="15" borderId="51" xfId="0" applyFont="1" applyFill="1" applyBorder="1" applyAlignment="1" applyProtection="1">
      <alignment horizontal="center" vertical="center"/>
      <protection locked="0"/>
    </xf>
    <xf numFmtId="0" fontId="8" fillId="15" borderId="17" xfId="0" applyFont="1" applyFill="1" applyBorder="1" applyAlignment="1" applyProtection="1">
      <alignment horizontal="center" vertical="center"/>
      <protection locked="0"/>
    </xf>
    <xf numFmtId="1" fontId="8" fillId="4" borderId="57" xfId="0" applyNumberFormat="1" applyFont="1" applyFill="1" applyBorder="1" applyAlignment="1" applyProtection="1">
      <alignment horizontal="center" vertical="center"/>
    </xf>
    <xf numFmtId="1" fontId="8" fillId="6" borderId="7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8" fillId="15" borderId="16" xfId="0" applyFont="1" applyFill="1" applyBorder="1" applyAlignment="1" applyProtection="1">
      <alignment horizontal="center" vertical="center"/>
      <protection locked="0"/>
    </xf>
    <xf numFmtId="0" fontId="8" fillId="15" borderId="11" xfId="0" applyFont="1" applyFill="1" applyBorder="1" applyAlignment="1" applyProtection="1">
      <alignment horizontal="center" vertical="center"/>
      <protection locked="0"/>
    </xf>
    <xf numFmtId="0" fontId="8" fillId="15" borderId="7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center" vertical="center"/>
    </xf>
    <xf numFmtId="0" fontId="8" fillId="15" borderId="46" xfId="0" applyFont="1" applyFill="1" applyBorder="1" applyAlignment="1" applyProtection="1">
      <alignment horizontal="center" vertical="center"/>
      <protection locked="0"/>
    </xf>
    <xf numFmtId="0" fontId="8" fillId="15" borderId="44" xfId="0" applyFont="1" applyFill="1" applyBorder="1" applyAlignment="1" applyProtection="1">
      <alignment horizontal="center" vertical="center"/>
      <protection locked="0"/>
    </xf>
    <xf numFmtId="0" fontId="8" fillId="15" borderId="45" xfId="0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3" fontId="8" fillId="12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2" fillId="0" borderId="2" xfId="0" applyFont="1" applyBorder="1" applyProtection="1"/>
    <xf numFmtId="0" fontId="30" fillId="0" borderId="87" xfId="0" applyFont="1" applyFill="1" applyBorder="1" applyAlignment="1" applyProtection="1">
      <alignment horizontal="center"/>
    </xf>
    <xf numFmtId="0" fontId="30" fillId="0" borderId="89" xfId="0" applyFont="1" applyFill="1" applyBorder="1" applyAlignment="1" applyProtection="1">
      <alignment horizontal="center"/>
    </xf>
    <xf numFmtId="0" fontId="30" fillId="0" borderId="88" xfId="0" applyFont="1" applyFill="1" applyBorder="1" applyAlignment="1" applyProtection="1">
      <alignment horizontal="center"/>
    </xf>
    <xf numFmtId="0" fontId="25" fillId="3" borderId="2" xfId="0" applyFont="1" applyFill="1" applyBorder="1" applyAlignment="1" applyProtection="1">
      <alignment horizontal="center" vertical="center" wrapText="1"/>
    </xf>
    <xf numFmtId="0" fontId="25" fillId="3" borderId="3" xfId="0" applyFont="1" applyFill="1" applyBorder="1" applyAlignment="1" applyProtection="1">
      <alignment horizontal="center" vertical="center" wrapText="1"/>
    </xf>
    <xf numFmtId="0" fontId="25" fillId="3" borderId="4" xfId="0" applyFont="1" applyFill="1" applyBorder="1" applyAlignment="1" applyProtection="1">
      <alignment horizontal="center" vertical="center" wrapText="1"/>
    </xf>
    <xf numFmtId="0" fontId="25" fillId="3" borderId="30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0" fontId="25" fillId="3" borderId="28" xfId="0" applyFont="1" applyFill="1" applyBorder="1" applyAlignment="1" applyProtection="1">
      <alignment horizontal="center" vertical="center" wrapText="1"/>
    </xf>
    <xf numFmtId="0" fontId="25" fillId="3" borderId="5" xfId="0" applyFont="1" applyFill="1" applyBorder="1" applyAlignment="1" applyProtection="1">
      <alignment horizontal="center" vertical="center" wrapText="1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3" fillId="9" borderId="11" xfId="0" applyFont="1" applyFill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3" borderId="4" xfId="0" applyFont="1" applyFill="1" applyBorder="1" applyAlignment="1" applyProtection="1">
      <alignment horizontal="center" vertical="top" wrapText="1"/>
    </xf>
    <xf numFmtId="0" fontId="9" fillId="3" borderId="30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" vertical="top" wrapText="1"/>
    </xf>
    <xf numFmtId="0" fontId="9" fillId="3" borderId="28" xfId="0" applyFont="1" applyFill="1" applyBorder="1" applyAlignment="1" applyProtection="1">
      <alignment horizontal="center" vertical="top" wrapText="1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6" xfId="0" applyFont="1" applyFill="1" applyBorder="1" applyAlignment="1" applyProtection="1">
      <alignment horizontal="center" vertical="top" wrapText="1"/>
    </xf>
    <xf numFmtId="0" fontId="9" fillId="3" borderId="7" xfId="0" applyFont="1" applyFill="1" applyBorder="1" applyAlignment="1" applyProtection="1">
      <alignment horizontal="center" vertical="top" wrapText="1"/>
    </xf>
    <xf numFmtId="0" fontId="0" fillId="5" borderId="83" xfId="0" applyNumberFormat="1" applyFill="1" applyBorder="1" applyAlignment="1" applyProtection="1">
      <alignment horizontal="center" vertical="center"/>
    </xf>
    <xf numFmtId="0" fontId="0" fillId="5" borderId="82" xfId="0" applyNumberFormat="1" applyFill="1" applyBorder="1" applyAlignment="1" applyProtection="1">
      <alignment horizontal="center" vertical="center"/>
    </xf>
    <xf numFmtId="0" fontId="0" fillId="5" borderId="80" xfId="0" applyNumberFormat="1" applyFill="1" applyBorder="1" applyAlignment="1" applyProtection="1">
      <alignment horizontal="center" vertical="center"/>
    </xf>
    <xf numFmtId="0" fontId="0" fillId="5" borderId="81" xfId="0" applyNumberFormat="1" applyFill="1" applyBorder="1" applyAlignment="1" applyProtection="1">
      <alignment horizontal="center" vertical="center"/>
    </xf>
    <xf numFmtId="0" fontId="25" fillId="0" borderId="80" xfId="0" applyFont="1" applyBorder="1" applyAlignment="1" applyProtection="1">
      <alignment horizontal="center" vertical="center"/>
    </xf>
    <xf numFmtId="0" fontId="25" fillId="0" borderId="81" xfId="0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0" fontId="25" fillId="0" borderId="86" xfId="0" applyFont="1" applyBorder="1" applyAlignment="1" applyProtection="1">
      <alignment horizontal="center" vertical="center"/>
    </xf>
    <xf numFmtId="165" fontId="0" fillId="5" borderId="83" xfId="0" applyNumberFormat="1" applyFill="1" applyBorder="1" applyAlignment="1" applyProtection="1">
      <alignment horizontal="center"/>
    </xf>
    <xf numFmtId="165" fontId="0" fillId="5" borderId="82" xfId="0" applyNumberForma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165" fontId="6" fillId="7" borderId="9" xfId="0" applyNumberFormat="1" applyFont="1" applyFill="1" applyBorder="1" applyAlignment="1" applyProtection="1">
      <alignment horizontal="center"/>
    </xf>
    <xf numFmtId="165" fontId="6" fillId="7" borderId="10" xfId="0" applyNumberFormat="1" applyFont="1" applyFill="1" applyBorder="1" applyAlignment="1" applyProtection="1">
      <alignment horizontal="center"/>
    </xf>
    <xf numFmtId="0" fontId="0" fillId="16" borderId="9" xfId="0" applyNumberFormat="1" applyFill="1" applyBorder="1" applyAlignment="1" applyProtection="1">
      <alignment horizontal="center" vertical="center"/>
    </xf>
    <xf numFmtId="0" fontId="0" fillId="16" borderId="10" xfId="0" applyNumberForma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64" fontId="18" fillId="0" borderId="9" xfId="0" applyNumberFormat="1" applyFont="1" applyFill="1" applyBorder="1" applyAlignment="1" applyProtection="1">
      <alignment horizontal="center" vertical="center"/>
    </xf>
    <xf numFmtId="164" fontId="18" fillId="0" borderId="10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/>
    </xf>
    <xf numFmtId="0" fontId="14" fillId="8" borderId="12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horizontal="center" vertical="center"/>
    </xf>
    <xf numFmtId="165" fontId="0" fillId="4" borderId="9" xfId="0" applyNumberFormat="1" applyFill="1" applyBorder="1" applyAlignment="1" applyProtection="1">
      <alignment horizontal="center"/>
    </xf>
    <xf numFmtId="165" fontId="0" fillId="4" borderId="10" xfId="0" applyNumberFormat="1" applyFill="1" applyBorder="1" applyAlignment="1" applyProtection="1">
      <alignment horizontal="center"/>
    </xf>
    <xf numFmtId="0" fontId="30" fillId="0" borderId="57" xfId="0" applyFont="1" applyFill="1" applyBorder="1" applyAlignment="1" applyProtection="1">
      <alignment horizontal="center"/>
    </xf>
    <xf numFmtId="0" fontId="30" fillId="0" borderId="27" xfId="0" applyFont="1" applyFill="1" applyBorder="1" applyAlignment="1" applyProtection="1">
      <alignment horizontal="center"/>
    </xf>
    <xf numFmtId="0" fontId="0" fillId="22" borderId="2" xfId="0" applyNumberFormat="1" applyFill="1" applyBorder="1" applyAlignment="1" applyProtection="1">
      <alignment horizontal="center"/>
    </xf>
    <xf numFmtId="0" fontId="0" fillId="22" borderId="4" xfId="0" applyNumberFormat="1" applyFill="1" applyBorder="1" applyAlignment="1" applyProtection="1">
      <alignment horizontal="center"/>
    </xf>
    <xf numFmtId="0" fontId="0" fillId="22" borderId="30" xfId="0" applyNumberFormat="1" applyFill="1" applyBorder="1" applyAlignment="1" applyProtection="1">
      <alignment horizontal="center"/>
    </xf>
    <xf numFmtId="0" fontId="0" fillId="22" borderId="28" xfId="0" applyNumberFormat="1" applyFill="1" applyBorder="1" applyAlignment="1" applyProtection="1">
      <alignment horizontal="center"/>
    </xf>
    <xf numFmtId="0" fontId="0" fillId="22" borderId="5" xfId="0" applyNumberFormat="1" applyFill="1" applyBorder="1" applyAlignment="1" applyProtection="1">
      <alignment horizontal="center"/>
    </xf>
    <xf numFmtId="0" fontId="0" fillId="22" borderId="7" xfId="0" applyNumberFormat="1" applyFill="1" applyBorder="1" applyAlignment="1" applyProtection="1">
      <alignment horizontal="center"/>
    </xf>
    <xf numFmtId="165" fontId="0" fillId="16" borderId="9" xfId="0" applyNumberFormat="1" applyFill="1" applyBorder="1" applyAlignment="1" applyProtection="1">
      <alignment horizontal="center"/>
    </xf>
    <xf numFmtId="165" fontId="0" fillId="16" borderId="10" xfId="0" applyNumberFormat="1" applyFill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 vertical="center"/>
    </xf>
    <xf numFmtId="0" fontId="0" fillId="16" borderId="9" xfId="0" applyNumberFormat="1" applyFill="1" applyBorder="1" applyAlignment="1" applyProtection="1">
      <alignment horizontal="center"/>
    </xf>
    <xf numFmtId="0" fontId="0" fillId="16" borderId="10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2" borderId="80" xfId="0" applyNumberFormat="1" applyFill="1" applyBorder="1" applyAlignment="1" applyProtection="1">
      <alignment horizontal="center" vertical="center"/>
      <protection locked="0"/>
    </xf>
    <xf numFmtId="0" fontId="0" fillId="2" borderId="82" xfId="0" applyNumberFormat="1" applyFill="1" applyBorder="1" applyAlignment="1" applyProtection="1">
      <alignment horizontal="center" vertical="center"/>
      <protection locked="0"/>
    </xf>
    <xf numFmtId="0" fontId="0" fillId="2" borderId="84" xfId="0" applyNumberFormat="1" applyFill="1" applyBorder="1" applyAlignment="1" applyProtection="1">
      <alignment horizontal="center" vertical="center"/>
      <protection locked="0"/>
    </xf>
    <xf numFmtId="0" fontId="0" fillId="2" borderId="85" xfId="0" applyNumberFormat="1" applyFill="1" applyBorder="1" applyAlignment="1" applyProtection="1">
      <alignment horizontal="center" vertical="center"/>
      <protection locked="0"/>
    </xf>
    <xf numFmtId="0" fontId="0" fillId="2" borderId="81" xfId="0" applyNumberFormat="1" applyFill="1" applyBorder="1" applyAlignment="1" applyProtection="1">
      <alignment horizontal="center" vertical="center"/>
      <protection locked="0"/>
    </xf>
    <xf numFmtId="0" fontId="0" fillId="2" borderId="83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164" fontId="18" fillId="0" borderId="5" xfId="0" applyNumberFormat="1" applyFont="1" applyFill="1" applyBorder="1" applyAlignment="1" applyProtection="1">
      <alignment horizontal="center" vertical="center"/>
    </xf>
    <xf numFmtId="164" fontId="18" fillId="0" borderId="7" xfId="0" applyNumberFormat="1" applyFont="1" applyFill="1" applyBorder="1" applyAlignment="1" applyProtection="1">
      <alignment horizontal="center" vertical="center"/>
    </xf>
    <xf numFmtId="165" fontId="0" fillId="2" borderId="80" xfId="0" applyNumberFormat="1" applyFill="1" applyBorder="1" applyAlignment="1" applyProtection="1">
      <alignment horizontal="center"/>
      <protection locked="0"/>
    </xf>
    <xf numFmtId="165" fontId="0" fillId="2" borderId="81" xfId="0" applyNumberFormat="1" applyFill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165" fontId="0" fillId="2" borderId="83" xfId="0" applyNumberFormat="1" applyFill="1" applyBorder="1" applyAlignment="1" applyProtection="1">
      <alignment horizontal="center"/>
      <protection locked="0"/>
    </xf>
    <xf numFmtId="165" fontId="0" fillId="2" borderId="82" xfId="0" applyNumberFormat="1" applyFill="1" applyBorder="1" applyAlignment="1" applyProtection="1">
      <alignment horizontal="center"/>
      <protection locked="0"/>
    </xf>
    <xf numFmtId="165" fontId="0" fillId="16" borderId="4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3">
    <dxf>
      <font>
        <color theme="1"/>
      </font>
      <fill>
        <patternFill>
          <bgColor rgb="FF00CCFF"/>
        </patternFill>
      </fill>
    </dxf>
    <dxf>
      <font>
        <color theme="1"/>
      </font>
      <fill>
        <patternFill>
          <bgColor rgb="FF00CCFF"/>
        </patternFill>
      </fill>
    </dxf>
    <dxf>
      <font>
        <color theme="0"/>
      </font>
      <fill>
        <patternFill patternType="solid">
          <fgColor auto="1"/>
          <bgColor rgb="FF00B050"/>
        </patternFill>
      </fill>
    </dxf>
  </dxfs>
  <tableStyles count="0" defaultTableStyle="TableStyleMedium2" defaultPivotStyle="PivotStyleLight16"/>
  <colors>
    <mruColors>
      <color rgb="FF00CCFF"/>
      <color rgb="FF00CC00"/>
      <color rgb="FF00FF00"/>
      <color rgb="FFFF00FF"/>
      <color rgb="FF00FFFF"/>
      <color rgb="FF66FF66"/>
      <color rgb="FF66FFFF"/>
      <color rgb="FFFF99FF"/>
      <color rgb="FF66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93961261246092E-2"/>
          <c:y val="7.4771821986438738E-2"/>
          <c:w val="0.82401805994690625"/>
          <c:h val="0.81390994259497074"/>
        </c:manualLayout>
      </c:layout>
      <c:scatterChart>
        <c:scatterStyle val="lineMarker"/>
        <c:varyColors val="0"/>
        <c:ser>
          <c:idx val="0"/>
          <c:order val="0"/>
          <c:tx>
            <c:v>Harmonic Pattern</c:v>
          </c:tx>
          <c:spPr>
            <a:ln w="44450">
              <a:solidFill>
                <a:schemeClr val="bg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 w="19050">
                <a:solidFill>
                  <a:schemeClr val="bg1"/>
                </a:solidFill>
              </a:ln>
            </c:spPr>
          </c:marker>
          <c:xVal>
            <c:numRef>
              <c:f>Sheet1!$C$25:$L$25</c:f>
              <c:numCache>
                <c:formatCode>General</c:formatCode>
                <c:ptCount val="10"/>
                <c:pt idx="0">
                  <c:v>0</c:v>
                </c:pt>
                <c:pt idx="2">
                  <c:v>9</c:v>
                </c:pt>
                <c:pt idx="4">
                  <c:v>16</c:v>
                </c:pt>
                <c:pt idx="6">
                  <c:v>23</c:v>
                </c:pt>
                <c:pt idx="8">
                  <c:v>30</c:v>
                </c:pt>
              </c:numCache>
            </c:numRef>
          </c:xVal>
          <c:yVal>
            <c:numRef>
              <c:f>Sheet1!$C$27:$L$27</c:f>
              <c:numCache>
                <c:formatCode>0.00000</c:formatCode>
                <c:ptCount val="10"/>
                <c:pt idx="0">
                  <c:v>1.8</c:v>
                </c:pt>
                <c:pt idx="2">
                  <c:v>1.2</c:v>
                </c:pt>
                <c:pt idx="4">
                  <c:v>1.57</c:v>
                </c:pt>
                <c:pt idx="6">
                  <c:v>1.2789999999999999</c:v>
                </c:pt>
                <c:pt idx="8">
                  <c:v>1.67</c:v>
                </c:pt>
              </c:numCache>
            </c:numRef>
          </c:yVal>
          <c:smooth val="0"/>
        </c:ser>
        <c:ser>
          <c:idx val="1"/>
          <c:order val="1"/>
          <c:tx>
            <c:v>Fib.Time XD</c:v>
          </c:tx>
          <c:spPr>
            <a:ln w="9525">
              <a:noFill/>
            </a:ln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</c:spPr>
          </c:marker>
          <c:dLbls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Sheet1!$G$42:$J$42</c:f>
              <c:numCache>
                <c:formatCode>0</c:formatCode>
                <c:ptCount val="4"/>
                <c:pt idx="0">
                  <c:v>23.561999999999998</c:v>
                </c:pt>
                <c:pt idx="1">
                  <c:v>25.074000000000002</c:v>
                </c:pt>
                <c:pt idx="2">
                  <c:v>27</c:v>
                </c:pt>
                <c:pt idx="3">
                  <c:v>34.073999999999998</c:v>
                </c:pt>
              </c:numCache>
            </c:numRef>
          </c:xVal>
          <c:yVal>
            <c:numRef>
              <c:f>(Sheet1!$Y$23,Sheet1!$Y$23,Sheet1!$Y$23,Sheet1!$Y$23)</c:f>
              <c:numCache>
                <c:formatCode>0.00000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4"/>
          <c:order val="2"/>
          <c:tx>
            <c:v>Fib.Time XB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Sheet1!$G$44:$J$44</c:f>
              <c:numCache>
                <c:formatCode>0</c:formatCode>
                <c:ptCount val="4"/>
                <c:pt idx="0">
                  <c:v>14.562000000000001</c:v>
                </c:pt>
                <c:pt idx="1">
                  <c:v>16.074000000000002</c:v>
                </c:pt>
                <c:pt idx="2">
                  <c:v>9</c:v>
                </c:pt>
                <c:pt idx="3">
                  <c:v>0</c:v>
                </c:pt>
              </c:numCache>
            </c:numRef>
          </c:xVal>
          <c:yVal>
            <c:numRef>
              <c:f>(Sheet1!$Y$23,Sheet1!$Y$23,Sheet1!$Y$23,Sheet1!$Y$23)</c:f>
              <c:numCache>
                <c:formatCode>0.00000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8"/>
          <c:order val="3"/>
          <c:tx>
            <c:v>Fib.Time XC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dLbls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Sheet1!$G$45:$J$45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(Sheet1!$Y$23,Sheet1!$Y$23,Sheet1!$Y$23,Sheet1!$Y$23)</c:f>
              <c:numCache>
                <c:formatCode>0.00000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9"/>
          <c:order val="4"/>
          <c:tx>
            <c:v>Fib.Time XD fr. B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Sheet1!$G$43:$J$43</c:f>
              <c:numCache>
                <c:formatCode>0</c:formatCode>
                <c:ptCount val="4"/>
                <c:pt idx="0">
                  <c:v>25.888000000000002</c:v>
                </c:pt>
                <c:pt idx="1">
                  <c:v>28.576000000000001</c:v>
                </c:pt>
                <c:pt idx="2">
                  <c:v>30.175999999999998</c:v>
                </c:pt>
                <c:pt idx="3">
                  <c:v>32</c:v>
                </c:pt>
              </c:numCache>
            </c:numRef>
          </c:xVal>
          <c:yVal>
            <c:numRef>
              <c:f>(Sheet1!$Y$23,Sheet1!$Y$23,Sheet1!$Y$23,Sheet1!$Y$23)</c:f>
              <c:numCache>
                <c:formatCode>0.00000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5"/>
          <c:tx>
            <c:v>Fib.Price XD</c:v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elete val="1"/>
          </c:dLbls>
          <c:xVal>
            <c:numRef>
              <c:f>(Sheet1!$K$25,Sheet1!$K$25,Sheet1!$K$25,Sheet1!$K$25)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Sheet1!$G$40:$J$40</c:f>
              <c:numCache>
                <c:formatCode>0.00000</c:formatCode>
                <c:ptCount val="4"/>
                <c:pt idx="0">
                  <c:v>1.6716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v>Fib.Price BD</c:v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elete val="1"/>
          </c:dLbls>
          <c:xVal>
            <c:numRef>
              <c:f>(Sheet1!$K$25,Sheet1!$K$25,Sheet1!$K$25,Sheet1!$K$25)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Sheet1!$G$39:$J$39</c:f>
              <c:numCache>
                <c:formatCode>0.00000</c:formatCode>
                <c:ptCount val="4"/>
                <c:pt idx="0">
                  <c:v>1.6491520000000002</c:v>
                </c:pt>
                <c:pt idx="1">
                  <c:v>1.7498380000000002</c:v>
                </c:pt>
                <c:pt idx="2">
                  <c:v>1.6078300000000001</c:v>
                </c:pt>
                <c:pt idx="3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v>Fib.Price XB</c:v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elete val="1"/>
          </c:dLbls>
          <c:xVal>
            <c:numRef>
              <c:f>(Sheet1!$G$25,Sheet1!$G$25,Sheet1!$G$25,Sheet1!$G$25)</c:f>
              <c:numCache>
                <c:formatCode>General</c:formatCode>
                <c:ptCount val="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</c:numCache>
            </c:numRef>
          </c:xVal>
          <c:yVal>
            <c:numRef>
              <c:f>Sheet1!$G$37:$J$37</c:f>
              <c:numCache>
                <c:formatCode>0.00000</c:formatCode>
                <c:ptCount val="4"/>
                <c:pt idx="0">
                  <c:v>1.5708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5"/>
          <c:order val="8"/>
          <c:tx>
            <c:v>Fib.Price AC</c:v>
          </c:tx>
          <c:spPr>
            <a:ln>
              <a:noFill/>
            </a:ln>
          </c:spPr>
          <c:marker>
            <c:symbol val="dash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elete val="1"/>
          </c:dLbls>
          <c:xVal>
            <c:numRef>
              <c:f>(Sheet1!$I$25,Sheet1!$I$25,Sheet1!$I$25,Sheet1!$I$25)</c:f>
              <c:numCache>
                <c:formatCode>General</c:formatCode>
                <c:ptCount val="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</c:numCache>
            </c:numRef>
          </c:xVal>
          <c:yVal>
            <c:numRef>
              <c:f>Sheet1!$G$38:$J$38</c:f>
              <c:numCache>
                <c:formatCode>0.00000</c:formatCode>
                <c:ptCount val="4"/>
                <c:pt idx="0">
                  <c:v>1.42866</c:v>
                </c:pt>
                <c:pt idx="1">
                  <c:v>1.34134</c:v>
                </c:pt>
                <c:pt idx="2">
                  <c:v>1.27918</c:v>
                </c:pt>
                <c:pt idx="3">
                  <c:v>1.2421799999999998</c:v>
                </c:pt>
              </c:numCache>
            </c:numRef>
          </c:yVal>
          <c:smooth val="0"/>
        </c:ser>
        <c:ser>
          <c:idx val="10"/>
          <c:order val="9"/>
          <c:tx>
            <c:v>Fib.Price AB</c:v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elete val="1"/>
          </c:dLbls>
          <c:xVal>
            <c:numRef>
              <c:f>(Sheet1!$K$25,Sheet1!$K$25,Sheet1!$K$25,Sheet1!$K$25)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Sheet1!$G$41:$J$41</c:f>
              <c:numCache>
                <c:formatCode>0.00000</c:formatCode>
                <c:ptCount val="4"/>
                <c:pt idx="0">
                  <c:v>1.649</c:v>
                </c:pt>
                <c:pt idx="1">
                  <c:v>1.7496400000000001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10"/>
          <c:tx>
            <c:v>XBD connect</c:v>
          </c:tx>
          <c:spPr>
            <a:ln w="25400" cap="rnd" cmpd="dbl">
              <a:solidFill>
                <a:srgbClr val="FF99FF"/>
              </a:solidFill>
              <a:prstDash val="sysDot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(Sheet1!$C$25,Sheet1!$G$25,Sheet1!$K$25)</c:f>
              <c:numCache>
                <c:formatCode>General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30</c:v>
                </c:pt>
              </c:numCache>
            </c:numRef>
          </c:xVal>
          <c:yVal>
            <c:numRef>
              <c:f>(Sheet1!$C$27,Sheet1!$G$27,Sheet1!$K$27)</c:f>
              <c:numCache>
                <c:formatCode>0.00000</c:formatCode>
                <c:ptCount val="3"/>
                <c:pt idx="0">
                  <c:v>1.8</c:v>
                </c:pt>
                <c:pt idx="1">
                  <c:v>1.57</c:v>
                </c:pt>
                <c:pt idx="2">
                  <c:v>1.67</c:v>
                </c:pt>
              </c:numCache>
            </c:numRef>
          </c:yVal>
          <c:smooth val="0"/>
        </c:ser>
        <c:ser>
          <c:idx val="11"/>
          <c:order val="11"/>
          <c:tx>
            <c:v>ACE connect</c:v>
          </c:tx>
          <c:spPr>
            <a:ln w="25400" cmpd="dbl">
              <a:solidFill>
                <a:srgbClr val="FF99FF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dLbls>
            <c:delete val="1"/>
          </c:dLbls>
          <c:xVal>
            <c:numRef>
              <c:f>(Sheet1!$E$25,Sheet1!$I$25,Sheet1!$M$25)</c:f>
              <c:numCache>
                <c:formatCode>General</c:formatCode>
                <c:ptCount val="3"/>
                <c:pt idx="0">
                  <c:v>9</c:v>
                </c:pt>
                <c:pt idx="1">
                  <c:v>23</c:v>
                </c:pt>
                <c:pt idx="2">
                  <c:v>33</c:v>
                </c:pt>
              </c:numCache>
            </c:numRef>
          </c:xVal>
          <c:yVal>
            <c:numRef>
              <c:f>(Sheet1!$E$27,Sheet1!$I$27,Sheet1!$M$27)</c:f>
              <c:numCache>
                <c:formatCode>0.00000</c:formatCode>
                <c:ptCount val="3"/>
                <c:pt idx="0">
                  <c:v>1.2</c:v>
                </c:pt>
                <c:pt idx="1">
                  <c:v>1.2789999999999999</c:v>
                </c:pt>
              </c:numCache>
            </c:numRef>
          </c:yVal>
          <c:smooth val="0"/>
        </c:ser>
        <c:ser>
          <c:idx val="28"/>
          <c:order val="12"/>
          <c:tx>
            <c:v>XB connect</c:v>
          </c:tx>
          <c:spPr>
            <a:ln w="25400" cmpd="dbl">
              <a:solidFill>
                <a:srgbClr val="FF99FF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dLbls>
            <c:delete val="1"/>
          </c:dLbls>
          <c:xVal>
            <c:numRef>
              <c:f>(Sheet1!$C$25,Sheet1!$K$25)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(Sheet1!$C$27,Sheet1!$K$27)</c:f>
              <c:numCache>
                <c:formatCode>0.00000</c:formatCode>
                <c:ptCount val="2"/>
                <c:pt idx="0">
                  <c:v>1.8</c:v>
                </c:pt>
                <c:pt idx="1">
                  <c:v>1.67</c:v>
                </c:pt>
              </c:numCache>
            </c:numRef>
          </c:yVal>
          <c:smooth val="0"/>
        </c:ser>
        <c:ser>
          <c:idx val="12"/>
          <c:order val="13"/>
          <c:tx>
            <c:v>A</c:v>
          </c:tx>
          <c:spPr>
            <a:ln>
              <a:noFill/>
            </a:ln>
          </c:spPr>
          <c:marker>
            <c:symbol val="none"/>
          </c:marker>
          <c:dLbls>
            <c:numFmt formatCode="General" sourceLinked="0"/>
            <c:spPr>
              <a:solidFill>
                <a:schemeClr val="accent1">
                  <a:alpha val="0"/>
                </a:schemeClr>
              </a:solidFill>
              <a:ln>
                <a:noFill/>
              </a:ln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Sheet1!$E$25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Sheet1!$E$27</c:f>
              <c:numCache>
                <c:formatCode>0.00000</c:formatCode>
                <c:ptCount val="1"/>
                <c:pt idx="0">
                  <c:v>1.2</c:v>
                </c:pt>
              </c:numCache>
            </c:numRef>
          </c:yVal>
          <c:smooth val="0"/>
        </c:ser>
        <c:ser>
          <c:idx val="13"/>
          <c:order val="14"/>
          <c:tx>
            <c:v>B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Sheet1!$G$25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Sheet1!$G$27</c:f>
              <c:numCache>
                <c:formatCode>0.00000</c:formatCode>
                <c:ptCount val="1"/>
                <c:pt idx="0">
                  <c:v>1.57</c:v>
                </c:pt>
              </c:numCache>
            </c:numRef>
          </c:yVal>
          <c:smooth val="0"/>
        </c:ser>
        <c:ser>
          <c:idx val="14"/>
          <c:order val="15"/>
          <c:tx>
            <c:v>C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Sheet1!$I$25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Sheet1!$I$27</c:f>
              <c:numCache>
                <c:formatCode>0.00000</c:formatCode>
                <c:ptCount val="1"/>
                <c:pt idx="0">
                  <c:v>1.2789999999999999</c:v>
                </c:pt>
              </c:numCache>
            </c:numRef>
          </c:yVal>
          <c:smooth val="0"/>
        </c:ser>
        <c:ser>
          <c:idx val="15"/>
          <c:order val="16"/>
          <c:tx>
            <c:v>D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Sheet1!$K$25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Sheet1!$K$27</c:f>
              <c:numCache>
                <c:formatCode>0.00000</c:formatCode>
                <c:ptCount val="1"/>
                <c:pt idx="0">
                  <c:v>1.67</c:v>
                </c:pt>
              </c:numCache>
            </c:numRef>
          </c:yVal>
          <c:smooth val="0"/>
        </c:ser>
        <c:ser>
          <c:idx val="16"/>
          <c:order val="17"/>
          <c:tx>
            <c:v>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Sheet1!$M$25</c:f>
              <c:numCache>
                <c:formatCode>General</c:formatCode>
                <c:ptCount val="1"/>
                <c:pt idx="0">
                  <c:v>33</c:v>
                </c:pt>
              </c:numCache>
            </c:numRef>
          </c:xVal>
          <c:yVal>
            <c:numRef>
              <c:f>Sheet1!$M$27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7"/>
          <c:order val="18"/>
          <c:tx>
            <c:v>X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scene3d>
                <a:camera prst="orthographicFront"/>
                <a:lightRig rig="threePt" dir="t"/>
              </a:scene3d>
              <a:sp3d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Sheet1!$C$25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Sheet1!$C$27</c:f>
              <c:numCache>
                <c:formatCode>0.00000</c:formatCod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18"/>
          <c:order val="19"/>
          <c:tx>
            <c:v>Fib.Price DE</c:v>
          </c:tx>
          <c:spPr>
            <a:ln w="31750" cap="sq">
              <a:solidFill>
                <a:schemeClr val="bg1">
                  <a:lumMod val="75000"/>
                </a:schemeClr>
              </a:solidFill>
              <a:prstDash val="sysDash"/>
              <a:tailEnd type="triangle"/>
            </a:ln>
          </c:spPr>
          <c:marker>
            <c:symbol val="none"/>
          </c:marker>
          <c:dLbls>
            <c:delete val="1"/>
          </c:dLbls>
          <c:xVal>
            <c:numRef>
              <c:f>Sheet1!$K$25:$N$25</c:f>
              <c:numCache>
                <c:formatCode>General</c:formatCode>
                <c:ptCount val="4"/>
                <c:pt idx="0">
                  <c:v>30</c:v>
                </c:pt>
                <c:pt idx="2">
                  <c:v>33</c:v>
                </c:pt>
              </c:numCache>
            </c:numRef>
          </c:xVal>
          <c:yVal>
            <c:numRef>
              <c:f>Sheet1!$K$27:$N$27</c:f>
              <c:numCache>
                <c:formatCode>0.00000</c:formatCode>
                <c:ptCount val="4"/>
                <c:pt idx="0">
                  <c:v>1.67</c:v>
                </c:pt>
              </c:numCache>
            </c:numRef>
          </c:yVal>
          <c:smooth val="0"/>
        </c:ser>
        <c:ser>
          <c:idx val="20"/>
          <c:order val="20"/>
          <c:tx>
            <c:v>TP1</c:v>
          </c:tx>
          <c:spPr>
            <a:ln w="15875" cmpd="sng">
              <a:solidFill>
                <a:srgbClr val="FF0000"/>
              </a:solidFill>
              <a:prstDash val="sysDash"/>
              <a:tailEnd type="triangle"/>
            </a:ln>
          </c:spPr>
          <c:marker>
            <c:symbol val="none"/>
          </c:marker>
          <c:dLbls>
            <c:delete val="1"/>
          </c:dLbls>
          <c:xVal>
            <c:numRef>
              <c:f>(Sheet1!$K$25,Sheet1!$O$25)</c:f>
              <c:numCache>
                <c:formatCode>General</c:formatCode>
                <c:ptCount val="2"/>
                <c:pt idx="0">
                  <c:v>30</c:v>
                </c:pt>
                <c:pt idx="1">
                  <c:v>33.5</c:v>
                </c:pt>
              </c:numCache>
            </c:numRef>
          </c:xVal>
          <c:yVal>
            <c:numRef>
              <c:f>(Sheet1!$K$27,Sheet1!$O$27)</c:f>
              <c:numCache>
                <c:formatCode>0.00000</c:formatCode>
                <c:ptCount val="2"/>
                <c:pt idx="0">
                  <c:v>1.67</c:v>
                </c:pt>
                <c:pt idx="1">
                  <c:v>1.5777239999999999</c:v>
                </c:pt>
              </c:numCache>
            </c:numRef>
          </c:yVal>
          <c:smooth val="0"/>
        </c:ser>
        <c:ser>
          <c:idx val="21"/>
          <c:order val="21"/>
          <c:tx>
            <c:v>TP2</c:v>
          </c:tx>
          <c:spPr>
            <a:ln w="15875">
              <a:solidFill>
                <a:srgbClr val="FF0000"/>
              </a:solidFill>
              <a:prstDash val="sysDash"/>
              <a:tailEnd type="triangle"/>
            </a:ln>
          </c:spPr>
          <c:marker>
            <c:symbol val="none"/>
          </c:marker>
          <c:dLbls>
            <c:delete val="1"/>
          </c:dLbls>
          <c:xVal>
            <c:numRef>
              <c:f>(Sheet1!$K$25,Sheet1!$Q$25)</c:f>
              <c:numCache>
                <c:formatCode>General</c:formatCode>
                <c:ptCount val="2"/>
                <c:pt idx="0">
                  <c:v>30</c:v>
                </c:pt>
                <c:pt idx="1">
                  <c:v>33.5</c:v>
                </c:pt>
              </c:numCache>
            </c:numRef>
          </c:xVal>
          <c:yVal>
            <c:numRef>
              <c:f>(Sheet1!$K$27,Sheet1!$Q$27)</c:f>
              <c:numCache>
                <c:formatCode>0.00000</c:formatCode>
                <c:ptCount val="2"/>
                <c:pt idx="0">
                  <c:v>1.67</c:v>
                </c:pt>
                <c:pt idx="1">
                  <c:v>1.5206379999999999</c:v>
                </c:pt>
              </c:numCache>
            </c:numRef>
          </c:yVal>
          <c:smooth val="0"/>
        </c:ser>
        <c:ser>
          <c:idx val="22"/>
          <c:order val="22"/>
          <c:tx>
            <c:v>TP3</c:v>
          </c:tx>
          <c:spPr>
            <a:ln w="15875">
              <a:solidFill>
                <a:srgbClr val="FF0000"/>
              </a:solidFill>
              <a:prstDash val="sysDash"/>
              <a:tailEnd type="stealth"/>
            </a:ln>
          </c:spPr>
          <c:marker>
            <c:symbol val="none"/>
          </c:marker>
          <c:dPt>
            <c:idx val="1"/>
            <c:bubble3D val="0"/>
            <c:spPr>
              <a:ln w="15875">
                <a:solidFill>
                  <a:srgbClr val="FF0000"/>
                </a:solidFill>
                <a:prstDash val="sysDash"/>
                <a:tailEnd type="triangle"/>
              </a:ln>
            </c:spPr>
          </c:dPt>
          <c:dLbls>
            <c:delete val="1"/>
          </c:dLbls>
          <c:xVal>
            <c:numRef>
              <c:f>(Sheet1!$K$25,Sheet1!$S$25)</c:f>
              <c:numCache>
                <c:formatCode>General</c:formatCode>
                <c:ptCount val="2"/>
                <c:pt idx="0">
                  <c:v>30</c:v>
                </c:pt>
                <c:pt idx="1">
                  <c:v>33.5</c:v>
                </c:pt>
              </c:numCache>
            </c:numRef>
          </c:xVal>
          <c:yVal>
            <c:numRef>
              <c:f>(Sheet1!$K$27,Sheet1!$S$27)</c:f>
              <c:numCache>
                <c:formatCode>0.00000</c:formatCode>
                <c:ptCount val="2"/>
                <c:pt idx="0">
                  <c:v>1.67</c:v>
                </c:pt>
                <c:pt idx="1">
                  <c:v>1.4283619999999999</c:v>
                </c:pt>
              </c:numCache>
            </c:numRef>
          </c:yVal>
          <c:smooth val="0"/>
        </c:ser>
        <c:ser>
          <c:idx val="23"/>
          <c:order val="23"/>
          <c:tx>
            <c:v>TP4</c:v>
          </c:tx>
          <c:spPr>
            <a:ln w="15875">
              <a:solidFill>
                <a:srgbClr val="FF0000"/>
              </a:solidFill>
              <a:prstDash val="sysDash"/>
              <a:tailEnd type="triangle"/>
            </a:ln>
          </c:spPr>
          <c:marker>
            <c:symbol val="none"/>
          </c:marker>
          <c:dLbls>
            <c:delete val="1"/>
          </c:dLbls>
          <c:xVal>
            <c:numRef>
              <c:f>(Sheet1!$K$25,Sheet1!$U$25)</c:f>
              <c:numCache>
                <c:formatCode>General</c:formatCode>
                <c:ptCount val="2"/>
                <c:pt idx="0">
                  <c:v>30</c:v>
                </c:pt>
                <c:pt idx="1">
                  <c:v>33.5</c:v>
                </c:pt>
              </c:numCache>
            </c:numRef>
          </c:xVal>
          <c:yVal>
            <c:numRef>
              <c:f>(Sheet1!$K$27,Sheet1!$U$27)</c:f>
              <c:numCache>
                <c:formatCode>General</c:formatCode>
                <c:ptCount val="2"/>
                <c:pt idx="0" formatCode="0.00000">
                  <c:v>1.67</c:v>
                </c:pt>
                <c:pt idx="1">
                  <c:v>1.1726479999999999</c:v>
                </c:pt>
              </c:numCache>
            </c:numRef>
          </c:yVal>
          <c:smooth val="0"/>
        </c:ser>
        <c:ser>
          <c:idx val="19"/>
          <c:order val="24"/>
          <c:tx>
            <c:v>TP1</c:v>
          </c:tx>
          <c:spPr>
            <a:ln>
              <a:noFill/>
            </a:ln>
          </c:spPr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Sheet1!$O$25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xVal>
          <c:yVal>
            <c:numRef>
              <c:f>Sheet1!$O$27</c:f>
              <c:numCache>
                <c:formatCode>0.00000</c:formatCode>
                <c:ptCount val="1"/>
                <c:pt idx="0">
                  <c:v>1.5777239999999999</c:v>
                </c:pt>
              </c:numCache>
            </c:numRef>
          </c:yVal>
          <c:smooth val="0"/>
        </c:ser>
        <c:ser>
          <c:idx val="24"/>
          <c:order val="25"/>
          <c:tx>
            <c:v>TP2</c:v>
          </c:tx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Sheet1!$Q$25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xVal>
          <c:yVal>
            <c:numRef>
              <c:f>Sheet1!$Q$27</c:f>
              <c:numCache>
                <c:formatCode>0.00000</c:formatCode>
                <c:ptCount val="1"/>
                <c:pt idx="0">
                  <c:v>1.5206379999999999</c:v>
                </c:pt>
              </c:numCache>
            </c:numRef>
          </c:yVal>
          <c:smooth val="0"/>
        </c:ser>
        <c:ser>
          <c:idx val="25"/>
          <c:order val="26"/>
          <c:tx>
            <c:v>TP3</c:v>
          </c:tx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bubble3D val="0"/>
          </c:dPt>
          <c:dLbls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Sheet1!$S$25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xVal>
          <c:yVal>
            <c:numRef>
              <c:f>Sheet1!$S$27</c:f>
              <c:numCache>
                <c:formatCode>0.00000</c:formatCode>
                <c:ptCount val="1"/>
                <c:pt idx="0">
                  <c:v>1.4283619999999999</c:v>
                </c:pt>
              </c:numCache>
            </c:numRef>
          </c:yVal>
          <c:smooth val="0"/>
        </c:ser>
        <c:ser>
          <c:idx val="26"/>
          <c:order val="27"/>
          <c:tx>
            <c:v>TP4</c:v>
          </c:tx>
          <c:marker>
            <c:symbol val="dot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Sheet1!$U$25</c:f>
              <c:numCache>
                <c:formatCode>General</c:formatCode>
                <c:ptCount val="1"/>
                <c:pt idx="0">
                  <c:v>33.5</c:v>
                </c:pt>
              </c:numCache>
            </c:numRef>
          </c:xVal>
          <c:yVal>
            <c:numRef>
              <c:f>Sheet1!$U$27</c:f>
              <c:numCache>
                <c:formatCode>General</c:formatCode>
                <c:ptCount val="1"/>
                <c:pt idx="0">
                  <c:v>1.1726479999999999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Sheet1!$AD$30</c:f>
              <c:strCache>
                <c:ptCount val="1"/>
                <c:pt idx="0">
                  <c:v>0.617</c:v>
                </c:pt>
              </c:strCache>
            </c:strRef>
          </c:tx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Sheet1!$AB$30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Sheet1!$AC$30</c:f>
              <c:numCache>
                <c:formatCode>General</c:formatCode>
                <c:ptCount val="1"/>
                <c:pt idx="0">
                  <c:v>1.6850000000000001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Sheet1!$AD$31</c:f>
              <c:strCache>
                <c:ptCount val="1"/>
                <c:pt idx="0">
                  <c:v>0.783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Sheet1!$AB$31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Sheet1!$AC$31</c:f>
              <c:numCache>
                <c:formatCode>General</c:formatCode>
                <c:ptCount val="1"/>
                <c:pt idx="0">
                  <c:v>1.7349999999999999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Sheet1!$AD$32</c:f>
              <c:strCache>
                <c:ptCount val="1"/>
                <c:pt idx="0">
                  <c:v>0.786</c:v>
                </c:pt>
              </c:strCache>
            </c:strRef>
          </c:tx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Sheet1!$AB$32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Sheet1!$AC$32</c:f>
              <c:numCache>
                <c:formatCode>General</c:formatCode>
                <c:ptCount val="1"/>
                <c:pt idx="0">
                  <c:v>1.2395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Sheet1!$AD$33</c:f>
              <c:strCache>
                <c:ptCount val="1"/>
                <c:pt idx="0">
                  <c:v>1.344</c:v>
                </c:pt>
              </c:strCache>
            </c:strRef>
          </c:tx>
          <c:dPt>
            <c:idx val="0"/>
            <c:marker>
              <c:symbol val="none"/>
            </c:marker>
            <c:bubble3D val="0"/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Sheet1!$AB$33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Sheet1!$AC$33</c:f>
              <c:numCache>
                <c:formatCode>General</c:formatCode>
                <c:ptCount val="1"/>
                <c:pt idx="0">
                  <c:v>1.62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8964224"/>
        <c:axId val="78966144"/>
      </c:scatterChart>
      <c:valAx>
        <c:axId val="78964224"/>
        <c:scaling>
          <c:orientation val="minMax"/>
          <c:min val="-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44271851493423658"/>
              <c:y val="0.948358930381227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8966144"/>
        <c:crosses val="autoZero"/>
        <c:crossBetween val="midCat"/>
      </c:valAx>
      <c:valAx>
        <c:axId val="78966144"/>
        <c:scaling>
          <c:orientation val="minMax"/>
          <c:min val="1"/>
        </c:scaling>
        <c:delete val="0"/>
        <c:axPos val="l"/>
        <c:majorGridlines/>
        <c:minorGridlines>
          <c:spPr>
            <a:effectLst>
              <a:outerShdw blurRad="50800" dist="50800" dir="5400000" sx="1000" sy="1000" algn="ctr" rotWithShape="0">
                <a:srgbClr val="000000"/>
              </a:outerShdw>
            </a:effectLst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8.2833654026889993E-3"/>
              <c:y val="0.43998574590708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78964224"/>
        <c:crosses val="autoZero"/>
        <c:crossBetween val="midCat"/>
      </c:valAx>
    </c:plotArea>
    <c:plotVisOnly val="1"/>
    <c:dispBlanksAs val="span"/>
    <c:showDLblsOverMax val="0"/>
  </c:chart>
  <c:spPr>
    <a:gradFill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95248</xdr:colOff>
      <xdr:row>2</xdr:row>
      <xdr:rowOff>1</xdr:rowOff>
    </xdr:from>
    <xdr:to>
      <xdr:col>21</xdr:col>
      <xdr:colOff>518583</xdr:colOff>
      <xdr:row>23</xdr:row>
      <xdr:rowOff>2907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5"/>
  <sheetViews>
    <sheetView showGridLines="0" tabSelected="1" zoomScaleNormal="100" workbookViewId="0"/>
  </sheetViews>
  <sheetFormatPr defaultRowHeight="15" x14ac:dyDescent="0.25"/>
  <cols>
    <col min="1" max="1" width="15.7109375" style="2" customWidth="1"/>
    <col min="2" max="18" width="8.5703125" style="2" customWidth="1"/>
    <col min="19" max="20" width="8.42578125" style="2" customWidth="1"/>
    <col min="21" max="22" width="8.5703125" style="2" customWidth="1"/>
    <col min="23" max="23" width="5.7109375" style="78" customWidth="1"/>
    <col min="24" max="24" width="9.140625" style="2"/>
    <col min="25" max="25" width="9.140625" style="4"/>
    <col min="26" max="26" width="9.85546875" style="5" customWidth="1"/>
    <col min="27" max="16384" width="9.140625" style="2"/>
  </cols>
  <sheetData>
    <row r="1" spans="1:26" ht="27.75" customHeight="1" thickBot="1" x14ac:dyDescent="0.3">
      <c r="A1" s="1" t="s">
        <v>117</v>
      </c>
      <c r="F1" s="434" t="s">
        <v>62</v>
      </c>
      <c r="G1" s="435"/>
      <c r="H1" s="435"/>
      <c r="I1" s="435"/>
      <c r="J1" s="435"/>
      <c r="K1" s="435"/>
      <c r="L1" s="435"/>
      <c r="M1" s="435"/>
      <c r="N1" s="435"/>
      <c r="O1" s="435"/>
      <c r="P1" s="436"/>
      <c r="W1" s="3"/>
    </row>
    <row r="2" spans="1:26" s="7" customFormat="1" ht="15.75" customHeight="1" thickBot="1" x14ac:dyDescent="0.2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Y2" s="10"/>
      <c r="Z2" s="11"/>
    </row>
    <row r="3" spans="1:26" s="14" customFormat="1" ht="15.75" thickBot="1" x14ac:dyDescent="0.3">
      <c r="A3" s="12" t="s">
        <v>82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3"/>
      <c r="Y3" s="4"/>
      <c r="Z3" s="5"/>
    </row>
    <row r="4" spans="1:26" s="17" customFormat="1" ht="15" customHeight="1" thickBot="1" x14ac:dyDescent="0.3">
      <c r="A4" s="12" t="s">
        <v>39</v>
      </c>
      <c r="B4" s="15" t="str">
        <f>A62</f>
        <v>Gartley</v>
      </c>
      <c r="C4" s="15" t="str">
        <f>A98</f>
        <v>Bat</v>
      </c>
      <c r="D4" s="15" t="str">
        <f>A134</f>
        <v>Butterfly</v>
      </c>
      <c r="E4" s="15" t="str">
        <f>A170</f>
        <v>Crab</v>
      </c>
      <c r="F4" s="15" t="str">
        <f>A206</f>
        <v>Shark</v>
      </c>
      <c r="G4" s="15" t="str">
        <f>A242</f>
        <v>Nw Cypher</v>
      </c>
      <c r="H4" s="15" t="str">
        <f>A278</f>
        <v>Dragon</v>
      </c>
      <c r="I4" s="15" t="str">
        <f>A314</f>
        <v>Leonardo</v>
      </c>
      <c r="J4" s="15" t="str">
        <f>A350</f>
        <v>Mx Gartley</v>
      </c>
      <c r="K4" s="15" t="str">
        <f>A386</f>
        <v>Mx Bat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3"/>
      <c r="Y4" s="18"/>
      <c r="Z4" s="19"/>
    </row>
    <row r="5" spans="1:26" s="17" customFormat="1" ht="15" customHeight="1" thickBot="1" x14ac:dyDescent="0.3">
      <c r="A5" s="12" t="s">
        <v>131</v>
      </c>
      <c r="B5" s="20" t="str">
        <f>CONCATENATE(IF(R91="*Structure*","-----",IF(AND(S85="Structure approved",OR(K90=4,K90=5)), "Valid", "-----"))," (",K90,")")</f>
        <v>Valid (5)</v>
      </c>
      <c r="C5" s="21" t="str">
        <f>CONCATENATE(IF(R127="*Structure*","-----",IF(AND(S121="Structure approved",OR(K126=4,K126=5)), "Valid", "-----"))," (",K126,")")</f>
        <v>----- (2)</v>
      </c>
      <c r="D5" s="21" t="str">
        <f>CONCATENATE(IF(R163="*Structure*","-----",IF(AND(S157="Structure approved",OR(K162=4,K162=5)), "Valid", "-----"))," (",K162,")")</f>
        <v>----- (2)</v>
      </c>
      <c r="E5" s="21" t="str">
        <f>CONCATENATE(IF(R199="*Structure*","-----",IF(AND(S193="Structure approved",OR(K198=4,K198=5)), "Valid", "-----"))," (",K198,")")</f>
        <v>----- (2)</v>
      </c>
      <c r="F5" s="21" t="str">
        <f>CONCATENATE(IF(R235="*Structure*","-----",IF(AND(S229="Structure approved",OR(K234=4,K234=5)), "Valid", "-----"))," (",K234,")")</f>
        <v>----- (1)</v>
      </c>
      <c r="G5" s="21" t="str">
        <f>CONCATENATE(IF(R271="*Structure*","-----",IF(AND(S265="Structure approved",OR(K270=4,K270=5)), "Valid", "-----"))," (",K270,")")</f>
        <v>----- (4)</v>
      </c>
      <c r="H5" s="21" t="str">
        <f>CONCATENATE(IF(R271="*Structure*","-----",IF(AND(S301="Structure approved",OR(K306=4,K306=5)), "Valid", "-----"))," (",K306,")")</f>
        <v>----- (0)</v>
      </c>
      <c r="I5" s="21" t="str">
        <f>CONCATENATE(IF(R343="*Structure*","-----",IF(AND(S337="Structure approved",OR(K342=4,K342=5)), "Valid", "-----"))," (",K342,")")</f>
        <v>----- (4)</v>
      </c>
      <c r="J5" s="21" t="str">
        <f>CONCATENATE(IF(R379="*Structure*","-----",IF(AND(S373="Structure approved",OR(K378=4,K378=5)), "Valid", "-----"))," (",K378,")")</f>
        <v>----- (5)</v>
      </c>
      <c r="K5" s="21" t="str">
        <f>CONCATENATE(IF(R415="*Structure*","-----",IF(AND(S409="Structure approved",OR(K414=4,K414=5)), "Valid", "-----"))," (",K414,")")</f>
        <v>----- (3)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"/>
      <c r="Y5" s="18"/>
      <c r="Z5" s="19"/>
    </row>
    <row r="6" spans="1:26" s="17" customFormat="1" ht="15" customHeight="1" thickBot="1" x14ac:dyDescent="0.3">
      <c r="A6" s="12" t="s">
        <v>132</v>
      </c>
      <c r="B6" s="23" t="str">
        <f>CONCATENATE(IF(R91="*Structure*","-----",IF(AND(S85="Structure approved",OR(M90=4,M90=5)), "Valid", "-----"))," (",M90,")")</f>
        <v>Valid (5)</v>
      </c>
      <c r="C6" s="24" t="str">
        <f>CONCATENATE(IF(R127="*Structure*","-----",IF(AND(S121="Structure approved",OR(M126=4,M126=5)), "Valid", "-----"))," (",M126,")")</f>
        <v>----- (1)</v>
      </c>
      <c r="D6" s="24" t="str">
        <f>CONCATENATE(IF(R163="*Structure*","-----",IF(AND(S157="Structure approved",OR(M162=4,M162=5)), "Valid", "-----"))," (",M162,")")</f>
        <v>----- (1)</v>
      </c>
      <c r="E6" s="24" t="str">
        <f>CONCATENATE(IF(R199="*Structure*","-----",IF(AND(S193="Structure approved",OR(M198=4,M198=5)), "Valid", "-----"))," (",M198,")")</f>
        <v>----- (1)</v>
      </c>
      <c r="F6" s="24" t="str">
        <f>CONCATENATE(IF(R235="*Structure*","-----",IF(AND(S229="Structure approved",OR(M234=4,M234=5)), "Valid", "-----"))," (",M234,")")</f>
        <v>----- (1)</v>
      </c>
      <c r="G6" s="24" t="str">
        <f>CONCATENATE(IF(R271="*Structure*","-----",IF(AND(S265="Structure approved",OR(M270=4,M270=5)), "Valid", "-----"))," (",M270,")")</f>
        <v>----- (3)</v>
      </c>
      <c r="H6" s="24" t="str">
        <f>CONCATENATE(IF(R271="*Structure*","-----",IF(AND(S301="Structure approved",OR(M306=4,M306=5)), "Valid", "-----"))," (",M306,")")</f>
        <v>----- (0)</v>
      </c>
      <c r="I6" s="24" t="str">
        <f>CONCATENATE(IF(R343="*Structure*","-----",IF(AND(S337="Structure approved",OR(M342=4,M342=5)), "Valid", "-----"))," (",M342,")")</f>
        <v>----- (2)</v>
      </c>
      <c r="J6" s="24" t="str">
        <f>CONCATENATE(IF(R379="*Structure*","-----",IF(AND(S373="Structure approved",OR(M378=4,M378=5)), "Valid", "-----"))," (",M378,")")</f>
        <v>----- (3)</v>
      </c>
      <c r="K6" s="24" t="str">
        <f>CONCATENATE(IF(R415="*Structure*","-----",IF(AND(S409="Structure approved",OR(M414=4,M414=5)), "Valid", "-----"))," (",M414,")")</f>
        <v>----- (3)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3"/>
      <c r="Y6" s="18"/>
      <c r="Z6" s="19"/>
    </row>
    <row r="7" spans="1:26" s="17" customFormat="1" ht="15" customHeight="1" thickBot="1" x14ac:dyDescent="0.3">
      <c r="A7" s="12" t="s">
        <v>133</v>
      </c>
      <c r="B7" s="23" t="str">
        <f>CONCATENATE(IF(R91="*Structure*","-----",IF(AND(S85="Structure approved",OR(O90=4,O90=5)), "Valid", "-----"))," (",O90,")")</f>
        <v>Valid (5)</v>
      </c>
      <c r="C7" s="24" t="str">
        <f>CONCATENATE(IF(R127="*Structure*","-----",IF(AND(S121="Structure approved",OR(O126=4,O126=5)), "Valid", "-----"))," (",O126,")")</f>
        <v>----- (2)</v>
      </c>
      <c r="D7" s="24" t="str">
        <f>CONCATENATE(IF(R163="*Structure*","-----",IF(AND(S157="Structure approved",OR(O162=4,O162=5)), "Valid", "-----"))," (",O162,")")</f>
        <v>----- (2)</v>
      </c>
      <c r="E7" s="24" t="str">
        <f>CONCATENATE(IF(R199="*Structure*","-----",IF(AND(S193="Structure approved",OR(O198=4,O198=5)), "Valid", "-----"))," (",O198,")")</f>
        <v>----- (2)</v>
      </c>
      <c r="F7" s="24" t="str">
        <f>CONCATENATE(IF(R235="*Structure*","-----",IF(AND(S229="Structure approved",OR(O234=4,O234=5)), "Valid", "-----"))," (",O234,")")</f>
        <v>----- (1)</v>
      </c>
      <c r="G7" s="24" t="str">
        <f>CONCATENATE(IF(R271="*Structure*","-----",IF(AND(S265="Structure approved",OR(O270=4,O270=5)), "Valid", "-----"))," (",O270,")")</f>
        <v>----- (4)</v>
      </c>
      <c r="H7" s="24" t="str">
        <f>CONCATENATE(IF(R271="*Structure*","-----",IF(AND(S301="Structure approved",OR(O306=4,O306=5)), "Valid", "-----"))," (",O306,")")</f>
        <v>----- (0)</v>
      </c>
      <c r="I7" s="24" t="str">
        <f>CONCATENATE(IF(R343="*Structure*","-----",IF(AND(S337="Structure approved",OR(O342=4,O342=5)), "Valid", "-----"))," (",O342,")")</f>
        <v>----- (4)</v>
      </c>
      <c r="J7" s="24" t="str">
        <f>CONCATENATE(IF(R379="*Structure*","-----",IF(AND(S373="Structure approved",OR(O378=4,O378=5)), "Valid", "-----"))," (",O378,")")</f>
        <v>----- (5)</v>
      </c>
      <c r="K7" s="24" t="str">
        <f>CONCATENATE(IF(R415="*Structure*","-----",IF(AND(S409="Structure approved",OR(O414=4,O414=5)), "Valid", "-----"))," (",O414,")")</f>
        <v>----- (4)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3"/>
      <c r="Y7" s="18"/>
      <c r="Z7" s="19"/>
    </row>
    <row r="8" spans="1:26" s="17" customFormat="1" ht="15" customHeight="1" thickBot="1" x14ac:dyDescent="0.3">
      <c r="A8" s="12" t="s">
        <v>109</v>
      </c>
      <c r="B8" s="25">
        <f>R85</f>
        <v>0.33927056827821156</v>
      </c>
      <c r="C8" s="26">
        <f>R121</f>
        <v>23.33333333333335</v>
      </c>
      <c r="D8" s="27">
        <f>R157</f>
        <v>21.543681085665796</v>
      </c>
      <c r="E8" s="28">
        <f>R193</f>
        <v>16.921638619751853</v>
      </c>
      <c r="F8" s="27">
        <f>R229</f>
        <v>30.276020701552621</v>
      </c>
      <c r="G8" s="28">
        <f>R265</f>
        <v>44.378607744944382</v>
      </c>
      <c r="H8" s="28">
        <f>R301</f>
        <v>57.297297297297334</v>
      </c>
      <c r="I8" s="27">
        <f>R337</f>
        <v>23.33333333333335</v>
      </c>
      <c r="J8" s="28">
        <f>R373</f>
        <v>11.231773534256623</v>
      </c>
      <c r="K8" s="26">
        <f>R409</f>
        <v>11.231773534256623</v>
      </c>
      <c r="L8" s="29"/>
      <c r="M8" s="29"/>
      <c r="N8" s="29"/>
      <c r="O8" s="29"/>
      <c r="P8" s="30"/>
      <c r="Q8" s="30"/>
      <c r="R8" s="30"/>
      <c r="S8" s="30"/>
      <c r="T8" s="30"/>
      <c r="U8" s="30"/>
      <c r="V8" s="30"/>
      <c r="W8" s="3"/>
      <c r="Y8" s="18"/>
      <c r="Z8" s="19"/>
    </row>
    <row r="9" spans="1:26" s="34" customFormat="1" ht="15" customHeight="1" thickBot="1" x14ac:dyDescent="0.3">
      <c r="A9" s="12" t="s">
        <v>110</v>
      </c>
      <c r="B9" s="31">
        <f>R86</f>
        <v>0.58324496288440608</v>
      </c>
      <c r="C9" s="32">
        <f>R122</f>
        <v>0.58324496288440608</v>
      </c>
      <c r="D9" s="33">
        <f>R158</f>
        <v>6.25</v>
      </c>
      <c r="E9" s="26">
        <f>R194</f>
        <v>0.58324496288440608</v>
      </c>
      <c r="F9" s="33">
        <f>R230</f>
        <v>6.25</v>
      </c>
      <c r="G9" s="26">
        <f>R266</f>
        <v>6.25</v>
      </c>
      <c r="H9" s="26">
        <f>R302</f>
        <v>6.25</v>
      </c>
      <c r="I9" s="33">
        <f>R338</f>
        <v>6.25</v>
      </c>
      <c r="J9" s="26">
        <f>R374</f>
        <v>6.25</v>
      </c>
      <c r="K9" s="32">
        <f>R410</f>
        <v>6.25</v>
      </c>
      <c r="L9" s="29"/>
      <c r="M9" s="29"/>
      <c r="N9" s="29"/>
      <c r="O9" s="29"/>
      <c r="P9" s="30"/>
      <c r="Q9" s="30"/>
      <c r="R9" s="30"/>
      <c r="S9" s="30"/>
      <c r="T9" s="30"/>
      <c r="U9" s="30"/>
      <c r="V9" s="30"/>
      <c r="W9" s="3"/>
      <c r="Y9" s="18"/>
      <c r="Z9" s="19"/>
    </row>
    <row r="10" spans="1:26" s="34" customFormat="1" ht="15" customHeight="1" thickBot="1" x14ac:dyDescent="0.3">
      <c r="A10" s="12" t="s">
        <v>54</v>
      </c>
      <c r="B10" s="32">
        <f>R88</f>
        <v>0.20563808453825819</v>
      </c>
      <c r="C10" s="35">
        <f>R124</f>
        <v>13.413594181088541</v>
      </c>
      <c r="D10" s="36">
        <f>R160</f>
        <v>12.817043431866024</v>
      </c>
      <c r="E10" s="32">
        <f>R196</f>
        <v>9.4563872947737639</v>
      </c>
      <c r="F10" s="35">
        <f>R232</f>
        <v>14.026476775507696</v>
      </c>
      <c r="G10" s="35">
        <f>R268</f>
        <v>14.977876014511802</v>
      </c>
      <c r="H10" s="35">
        <f>R304</f>
        <v>54.474981136450488</v>
      </c>
      <c r="I10" s="35">
        <f>R340</f>
        <v>11.634792478622728</v>
      </c>
      <c r="J10" s="35">
        <f>R376</f>
        <v>3.9289312776158827</v>
      </c>
      <c r="K10" s="32">
        <f>R412</f>
        <v>5.6932680191082587</v>
      </c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0"/>
      <c r="W10" s="3"/>
      <c r="Y10" s="18"/>
      <c r="Z10" s="19"/>
    </row>
    <row r="11" spans="1:26" s="34" customFormat="1" ht="15" customHeight="1" thickBot="1" x14ac:dyDescent="0.3">
      <c r="A11" s="12" t="s">
        <v>48</v>
      </c>
      <c r="B11" s="32">
        <f>R89</f>
        <v>0.34787191600108053</v>
      </c>
      <c r="C11" s="35">
        <f>R125</f>
        <v>0.34787191600108053</v>
      </c>
      <c r="D11" s="36">
        <f>R161</f>
        <v>2.2367902617062785</v>
      </c>
      <c r="E11" s="32">
        <f>R197</f>
        <v>0.34787191600108053</v>
      </c>
      <c r="F11" s="35">
        <f>R233</f>
        <v>2.2367902617062785</v>
      </c>
      <c r="G11" s="35">
        <f>R269</f>
        <v>2.2367902617062785</v>
      </c>
      <c r="H11" s="35">
        <f>R305</f>
        <v>2.2367902617062785</v>
      </c>
      <c r="I11" s="35">
        <f>R341</f>
        <v>2.2367902617062785</v>
      </c>
      <c r="J11" s="35">
        <f>R377</f>
        <v>2.2367902617062785</v>
      </c>
      <c r="K11" s="32">
        <f>R413</f>
        <v>2.2367902617062785</v>
      </c>
      <c r="L11" s="29"/>
      <c r="M11" s="29"/>
      <c r="N11" s="29"/>
      <c r="O11" s="29"/>
      <c r="P11" s="30"/>
      <c r="Q11" s="30"/>
      <c r="R11" s="30"/>
      <c r="S11" s="30"/>
      <c r="T11" s="30"/>
      <c r="U11" s="30"/>
      <c r="V11" s="30"/>
      <c r="W11" s="3"/>
      <c r="Y11" s="18"/>
      <c r="Z11" s="19"/>
    </row>
    <row r="12" spans="1:26" s="17" customFormat="1" ht="15.75" thickBot="1" x14ac:dyDescent="0.3">
      <c r="A12" s="12" t="s">
        <v>78</v>
      </c>
      <c r="B12" s="37" t="str">
        <f>G85</f>
        <v>1Fib</v>
      </c>
      <c r="C12" s="38" t="str">
        <f>G121</f>
        <v>No</v>
      </c>
      <c r="D12" s="39" t="str">
        <f>G157</f>
        <v>1Fib</v>
      </c>
      <c r="E12" s="38" t="str">
        <f>G193</f>
        <v>Yes</v>
      </c>
      <c r="F12" s="39" t="str">
        <f>G229</f>
        <v>Yes</v>
      </c>
      <c r="G12" s="38" t="str">
        <f>G265</f>
        <v>Yes</v>
      </c>
      <c r="H12" s="38" t="str">
        <f>G301</f>
        <v>No Data</v>
      </c>
      <c r="I12" s="39" t="str">
        <f>G337</f>
        <v>1Fib</v>
      </c>
      <c r="J12" s="38" t="str">
        <f>G373</f>
        <v>Yes</v>
      </c>
      <c r="K12" s="38" t="str">
        <f>G409</f>
        <v>Yes</v>
      </c>
      <c r="L12" s="40"/>
      <c r="M12" s="40"/>
      <c r="N12" s="40"/>
      <c r="O12" s="30"/>
      <c r="P12" s="30"/>
      <c r="Q12" s="30"/>
      <c r="R12" s="30"/>
      <c r="S12" s="30"/>
      <c r="T12" s="30"/>
      <c r="U12" s="30"/>
      <c r="V12" s="30"/>
      <c r="W12" s="41"/>
      <c r="Y12" s="18"/>
    </row>
    <row r="13" spans="1:26" s="17" customFormat="1" ht="15.75" thickBot="1" x14ac:dyDescent="0.3">
      <c r="A13" s="12" t="s">
        <v>76</v>
      </c>
      <c r="B13" s="42">
        <f>H85</f>
        <v>0.2157497303128133</v>
      </c>
      <c r="C13" s="43">
        <f>H121</f>
        <v>23.33333333333335</v>
      </c>
      <c r="D13" s="44">
        <f>H157</f>
        <v>21.543681085665796</v>
      </c>
      <c r="E13" s="43">
        <f>H193</f>
        <v>0.2157497303128133</v>
      </c>
      <c r="F13" s="44">
        <f>H229</f>
        <v>0.2157497303128133</v>
      </c>
      <c r="G13" s="43">
        <f>H265</f>
        <v>0.2157497303128133</v>
      </c>
      <c r="H13" s="43" t="str">
        <f>H301</f>
        <v>No Data</v>
      </c>
      <c r="I13" s="44">
        <f>H337</f>
        <v>23.33333333333335</v>
      </c>
      <c r="J13" s="43">
        <f>H373</f>
        <v>0.2157497303128133</v>
      </c>
      <c r="K13" s="43">
        <f>H409</f>
        <v>0.2157497303128133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41"/>
      <c r="Y13" s="18"/>
    </row>
    <row r="14" spans="1:26" s="17" customFormat="1" ht="15.75" thickBot="1" x14ac:dyDescent="0.3">
      <c r="A14" s="12" t="s">
        <v>79</v>
      </c>
      <c r="B14" s="45" t="str">
        <f>G86</f>
        <v>Yes</v>
      </c>
      <c r="C14" s="46" t="str">
        <f>G122</f>
        <v>Yes</v>
      </c>
      <c r="D14" s="47" t="str">
        <f>G158</f>
        <v>Yes</v>
      </c>
      <c r="E14" s="46" t="str">
        <f>G194</f>
        <v>Yes</v>
      </c>
      <c r="F14" s="47" t="str">
        <f>G230</f>
        <v>No</v>
      </c>
      <c r="G14" s="46" t="str">
        <f>G266</f>
        <v>No</v>
      </c>
      <c r="H14" s="46" t="str">
        <f>G302</f>
        <v>No</v>
      </c>
      <c r="I14" s="47" t="str">
        <f>G338</f>
        <v>Yes</v>
      </c>
      <c r="J14" s="46" t="str">
        <f>G374</f>
        <v>Yes</v>
      </c>
      <c r="K14" s="46" t="str">
        <f>G410</f>
        <v>Yes</v>
      </c>
      <c r="L14" s="40"/>
      <c r="M14" s="40"/>
      <c r="N14" s="40"/>
      <c r="O14" s="30"/>
      <c r="P14" s="30"/>
      <c r="Q14" s="30"/>
      <c r="R14" s="30"/>
      <c r="S14" s="30"/>
      <c r="T14" s="30"/>
      <c r="U14" s="30"/>
      <c r="V14" s="30"/>
      <c r="W14" s="41"/>
      <c r="Y14" s="18"/>
    </row>
    <row r="15" spans="1:26" s="17" customFormat="1" ht="15.75" thickBot="1" x14ac:dyDescent="0.3">
      <c r="A15" s="12" t="s">
        <v>77</v>
      </c>
      <c r="B15" s="48">
        <f>H86</f>
        <v>6.1893955023749718E-2</v>
      </c>
      <c r="C15" s="49">
        <f>H122</f>
        <v>11.231773534256623</v>
      </c>
      <c r="D15" s="50">
        <f>H158</f>
        <v>11.231773534256623</v>
      </c>
      <c r="E15" s="49">
        <f>H194</f>
        <v>11.231773534256623</v>
      </c>
      <c r="F15" s="50">
        <f>H230</f>
        <v>30.276020701552621</v>
      </c>
      <c r="G15" s="49">
        <f>H266</f>
        <v>44.378607744944382</v>
      </c>
      <c r="H15" s="49">
        <f>H302</f>
        <v>57.297297297297334</v>
      </c>
      <c r="I15" s="50">
        <f>H338</f>
        <v>11.231773534256623</v>
      </c>
      <c r="J15" s="49">
        <f>H374</f>
        <v>11.231773534256623</v>
      </c>
      <c r="K15" s="49">
        <f>H410</f>
        <v>11.231773534256623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41"/>
      <c r="Y15" s="18"/>
    </row>
    <row r="16" spans="1:26" s="17" customFormat="1" ht="15.75" thickBot="1" x14ac:dyDescent="0.3">
      <c r="A16" s="12" t="s">
        <v>115</v>
      </c>
      <c r="B16" s="51" t="str">
        <f>G87</f>
        <v>Yes</v>
      </c>
      <c r="C16" s="52" t="str">
        <f>G123</f>
        <v>No</v>
      </c>
      <c r="D16" s="53" t="str">
        <f>G159</f>
        <v>No</v>
      </c>
      <c r="E16" s="52" t="str">
        <f>G195</f>
        <v>No</v>
      </c>
      <c r="F16" s="53" t="str">
        <f>G231</f>
        <v>No</v>
      </c>
      <c r="G16" s="52" t="str">
        <f>G267</f>
        <v>Yes</v>
      </c>
      <c r="H16" s="52" t="str">
        <f>G303</f>
        <v>1Fib</v>
      </c>
      <c r="I16" s="53" t="str">
        <f>G339</f>
        <v>Yes</v>
      </c>
      <c r="J16" s="52" t="str">
        <f>G375</f>
        <v>Yes</v>
      </c>
      <c r="K16" s="52" t="str">
        <f>G411</f>
        <v>Yes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41"/>
    </row>
    <row r="17" spans="1:30" s="17" customFormat="1" ht="15.75" thickBot="1" x14ac:dyDescent="0.3">
      <c r="A17" s="12" t="s">
        <v>105</v>
      </c>
      <c r="B17" s="54">
        <f>H87</f>
        <v>5.6322807927553393</v>
      </c>
      <c r="C17" s="55">
        <f>H123</f>
        <v>16.95657529766082</v>
      </c>
      <c r="D17" s="56">
        <f>H159</f>
        <v>16.95657529766082</v>
      </c>
      <c r="E17" s="55">
        <f>H195</f>
        <v>48.676752800464179</v>
      </c>
      <c r="F17" s="56">
        <f>H231</f>
        <v>16.95657529766082</v>
      </c>
      <c r="G17" s="55">
        <f>H267</f>
        <v>19.117252808851809</v>
      </c>
      <c r="H17" s="55">
        <f>H303</f>
        <v>51.652664975603642</v>
      </c>
      <c r="I17" s="56">
        <f>H339</f>
        <v>19.117252808851809</v>
      </c>
      <c r="J17" s="55">
        <f>H375</f>
        <v>19.117252808851809</v>
      </c>
      <c r="K17" s="55">
        <f>H411</f>
        <v>5.6322807927553393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41"/>
    </row>
    <row r="18" spans="1:30" s="17" customFormat="1" ht="15.75" thickBot="1" x14ac:dyDescent="0.3">
      <c r="A18" s="12" t="s">
        <v>114</v>
      </c>
      <c r="B18" s="51" t="str">
        <f>G88</f>
        <v>1Fib</v>
      </c>
      <c r="C18" s="52" t="str">
        <f>G124</f>
        <v>1Fib</v>
      </c>
      <c r="D18" s="53" t="str">
        <f>G160</f>
        <v>1Fib</v>
      </c>
      <c r="E18" s="52" t="str">
        <f>G196</f>
        <v>1Fib</v>
      </c>
      <c r="F18" s="53" t="str">
        <f>G232</f>
        <v>1Fib</v>
      </c>
      <c r="G18" s="52" t="str">
        <f>G268</f>
        <v>1Fib</v>
      </c>
      <c r="H18" s="52" t="str">
        <f>G304</f>
        <v>1Fib</v>
      </c>
      <c r="I18" s="53" t="str">
        <f>G340</f>
        <v>1Fib</v>
      </c>
      <c r="J18" s="52" t="str">
        <f>G376</f>
        <v>Yes</v>
      </c>
      <c r="K18" s="52" t="str">
        <f>G412</f>
        <v>1Fib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41"/>
    </row>
    <row r="19" spans="1:30" s="17" customFormat="1" ht="15.75" thickBot="1" x14ac:dyDescent="0.3">
      <c r="A19" s="12" t="s">
        <v>104</v>
      </c>
      <c r="B19" s="54">
        <f>H88</f>
        <v>0.33927056827821156</v>
      </c>
      <c r="C19" s="55">
        <f>H124</f>
        <v>11.587659894657655</v>
      </c>
      <c r="D19" s="56">
        <f>H160</f>
        <v>38.417190775681355</v>
      </c>
      <c r="E19" s="55">
        <f>H196</f>
        <v>51.586320560362616</v>
      </c>
      <c r="F19" s="56">
        <f>H232</f>
        <v>11.587659894657655</v>
      </c>
      <c r="G19" s="55">
        <f>H268</f>
        <v>0.33927056827821156</v>
      </c>
      <c r="H19" s="55">
        <f>H304</f>
        <v>56.666666666666636</v>
      </c>
      <c r="I19" s="56">
        <f>H340</f>
        <v>0.33927056827821156</v>
      </c>
      <c r="J19" s="55">
        <f>H376</f>
        <v>0.33927056827821156</v>
      </c>
      <c r="K19" s="55">
        <f>H412</f>
        <v>11.587659894657655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41"/>
    </row>
    <row r="20" spans="1:30" s="17" customFormat="1" ht="15.75" thickBot="1" x14ac:dyDescent="0.3">
      <c r="A20" s="12" t="s">
        <v>113</v>
      </c>
      <c r="B20" s="57" t="str">
        <f>G89</f>
        <v>Yes</v>
      </c>
      <c r="C20" s="58" t="str">
        <f>G125</f>
        <v>Yes</v>
      </c>
      <c r="D20" s="59" t="str">
        <f>G161</f>
        <v>Yes</v>
      </c>
      <c r="E20" s="58" t="str">
        <f>G197</f>
        <v>No</v>
      </c>
      <c r="F20" s="59" t="str">
        <f>G233</f>
        <v>No</v>
      </c>
      <c r="G20" s="58" t="str">
        <f>G269</f>
        <v>1Fib</v>
      </c>
      <c r="H20" s="58" t="str">
        <f>G305</f>
        <v>No</v>
      </c>
      <c r="I20" s="59" t="str">
        <f>G341</f>
        <v>1Fib</v>
      </c>
      <c r="J20" s="58" t="str">
        <f>G377</f>
        <v>Yes</v>
      </c>
      <c r="K20" s="58" t="str">
        <f>G413</f>
        <v>1Fib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41"/>
    </row>
    <row r="21" spans="1:30" s="17" customFormat="1" ht="15.75" thickBot="1" x14ac:dyDescent="0.3">
      <c r="A21" s="12" t="s">
        <v>112</v>
      </c>
      <c r="B21" s="60">
        <f>H89</f>
        <v>5.6756756756756488</v>
      </c>
      <c r="C21" s="61">
        <f>H125</f>
        <v>5.6756756756756488</v>
      </c>
      <c r="D21" s="62">
        <f>HI61</f>
        <v>0</v>
      </c>
      <c r="E21" s="61">
        <f>H197</f>
        <v>16.921638619751853</v>
      </c>
      <c r="F21" s="62">
        <f>H233</f>
        <v>16.921638619751853</v>
      </c>
      <c r="G21" s="61">
        <f>H269</f>
        <v>5.6756756756756488</v>
      </c>
      <c r="H21" s="61">
        <f>H305</f>
        <v>70.996238957403961</v>
      </c>
      <c r="I21" s="62">
        <f>H341</f>
        <v>5.6756756756756488</v>
      </c>
      <c r="J21" s="61">
        <f>H377</f>
        <v>5.6756756756756488</v>
      </c>
      <c r="K21" s="61">
        <f>H413</f>
        <v>5.6756756756756488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41"/>
      <c r="Y21" s="63"/>
      <c r="Z21" s="64"/>
      <c r="AA21" s="64"/>
    </row>
    <row r="22" spans="1:30" s="17" customFormat="1" ht="15.75" thickBot="1" x14ac:dyDescent="0.3">
      <c r="A22" s="65" t="s">
        <v>123</v>
      </c>
      <c r="B22" s="66">
        <f>I87</f>
        <v>0.33927056827821156</v>
      </c>
      <c r="C22" s="67">
        <f>I123</f>
        <v>5.6756756756756488</v>
      </c>
      <c r="D22" s="68">
        <f>I159</f>
        <v>5.6756756756756488</v>
      </c>
      <c r="E22" s="67">
        <f>I195</f>
        <v>16.921638619751853</v>
      </c>
      <c r="F22" s="68">
        <f>I231</f>
        <v>11.587659894657655</v>
      </c>
      <c r="G22" s="67">
        <f>I267</f>
        <v>0.33927056827821156</v>
      </c>
      <c r="H22" s="67">
        <f>I303</f>
        <v>51.652664975603642</v>
      </c>
      <c r="I22" s="68">
        <f>I339</f>
        <v>0.33927056827821156</v>
      </c>
      <c r="J22" s="67">
        <f>I375</f>
        <v>0.33927056827821156</v>
      </c>
      <c r="K22" s="67">
        <f>I411</f>
        <v>5.6322807927553393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41"/>
      <c r="Y22" s="18"/>
    </row>
    <row r="23" spans="1:30" s="34" customFormat="1" ht="15.75" thickBot="1" x14ac:dyDescent="0.3">
      <c r="A23" s="12" t="s">
        <v>75</v>
      </c>
      <c r="B23" s="69" t="str">
        <f>IF(R91="","","Info")</f>
        <v/>
      </c>
      <c r="C23" s="70" t="str">
        <f>IF(R127="","","Info")</f>
        <v>Info</v>
      </c>
      <c r="D23" s="70" t="str">
        <f>IF(R163="","","Info")</f>
        <v>Info</v>
      </c>
      <c r="E23" s="70" t="str">
        <f>IF(R199="","","Info")</f>
        <v>Info</v>
      </c>
      <c r="F23" s="70" t="str">
        <f>IF(R235="","","Info")</f>
        <v>Info</v>
      </c>
      <c r="G23" s="70" t="str">
        <f>IF(R271="","","Info")</f>
        <v>Info</v>
      </c>
      <c r="H23" s="70" t="str">
        <f>IF(R307="","","Info")</f>
        <v>Info</v>
      </c>
      <c r="I23" s="70" t="str">
        <f>IF(R343="","","Info")</f>
        <v>Info</v>
      </c>
      <c r="J23" s="70" t="str">
        <f>IF(R379="","","Info")</f>
        <v>Info</v>
      </c>
      <c r="K23" s="70" t="str">
        <f>IF(R415="","","Info")</f>
        <v>Info</v>
      </c>
      <c r="L23" s="71"/>
      <c r="M23" s="71"/>
      <c r="N23" s="71"/>
      <c r="O23" s="71"/>
      <c r="P23" s="30"/>
      <c r="Q23" s="30"/>
      <c r="R23" s="30"/>
      <c r="S23" s="30"/>
      <c r="T23" s="30"/>
      <c r="U23" s="30"/>
      <c r="V23" s="30"/>
      <c r="W23" s="3"/>
      <c r="Y23" s="72">
        <v>1</v>
      </c>
      <c r="Z23" s="387" t="s">
        <v>124</v>
      </c>
      <c r="AA23" s="388"/>
      <c r="AB23" s="388"/>
      <c r="AC23" s="388"/>
      <c r="AD23" s="389"/>
    </row>
    <row r="24" spans="1:30" s="79" customFormat="1" ht="17.25" customHeight="1" thickBot="1" x14ac:dyDescent="0.3">
      <c r="A24" s="73"/>
      <c r="B24" s="74"/>
      <c r="C24" s="75" t="s">
        <v>128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76"/>
      <c r="P24" s="76"/>
      <c r="Q24" s="76"/>
      <c r="R24" s="76"/>
      <c r="S24" s="78"/>
      <c r="T24" s="78"/>
      <c r="U24" s="78"/>
      <c r="W24" s="3"/>
      <c r="Y24" s="80"/>
      <c r="Z24" s="81"/>
    </row>
    <row r="25" spans="1:30" s="84" customFormat="1" ht="19.5" customHeight="1" thickTop="1" thickBot="1" x14ac:dyDescent="0.3">
      <c r="A25" s="82"/>
      <c r="B25" s="83" t="s">
        <v>58</v>
      </c>
      <c r="C25" s="457">
        <v>0</v>
      </c>
      <c r="D25" s="458"/>
      <c r="E25" s="459">
        <v>9</v>
      </c>
      <c r="F25" s="460"/>
      <c r="G25" s="457">
        <v>16</v>
      </c>
      <c r="H25" s="461"/>
      <c r="I25" s="462">
        <v>23</v>
      </c>
      <c r="J25" s="458"/>
      <c r="K25" s="457">
        <v>30</v>
      </c>
      <c r="L25" s="461"/>
      <c r="M25" s="457">
        <v>33</v>
      </c>
      <c r="N25" s="461"/>
      <c r="O25" s="406">
        <f>K25+((K25-I25)/2)</f>
        <v>33.5</v>
      </c>
      <c r="P25" s="407"/>
      <c r="Q25" s="408">
        <f>O25</f>
        <v>33.5</v>
      </c>
      <c r="R25" s="409"/>
      <c r="S25" s="408">
        <f>Q25</f>
        <v>33.5</v>
      </c>
      <c r="T25" s="409"/>
      <c r="U25" s="408">
        <f>S25</f>
        <v>33.5</v>
      </c>
      <c r="V25" s="409"/>
      <c r="W25" s="3"/>
      <c r="Y25" s="85"/>
      <c r="Z25" s="86"/>
    </row>
    <row r="26" spans="1:30" s="89" customFormat="1" ht="36" customHeight="1" thickTop="1" thickBot="1" x14ac:dyDescent="0.3">
      <c r="A26" s="87" t="s">
        <v>61</v>
      </c>
      <c r="B26" s="88">
        <v>1</v>
      </c>
      <c r="C26" s="463" t="s">
        <v>5</v>
      </c>
      <c r="D26" s="463"/>
      <c r="E26" s="464" t="s">
        <v>1</v>
      </c>
      <c r="F26" s="465"/>
      <c r="G26" s="463" t="s">
        <v>2</v>
      </c>
      <c r="H26" s="471"/>
      <c r="I26" s="464" t="s">
        <v>3</v>
      </c>
      <c r="J26" s="465"/>
      <c r="K26" s="470" t="s">
        <v>4</v>
      </c>
      <c r="L26" s="471"/>
      <c r="M26" s="464" t="s">
        <v>93</v>
      </c>
      <c r="N26" s="465"/>
      <c r="O26" s="410" t="s">
        <v>97</v>
      </c>
      <c r="P26" s="411"/>
      <c r="Q26" s="412" t="s">
        <v>98</v>
      </c>
      <c r="R26" s="413"/>
      <c r="S26" s="414" t="s">
        <v>99</v>
      </c>
      <c r="T26" s="415"/>
      <c r="U26" s="414" t="s">
        <v>101</v>
      </c>
      <c r="V26" s="415"/>
      <c r="W26" s="3"/>
    </row>
    <row r="27" spans="1:30" ht="18.75" customHeight="1" thickTop="1" thickBot="1" x14ac:dyDescent="0.3">
      <c r="A27" s="90"/>
      <c r="B27" s="91" t="s">
        <v>37</v>
      </c>
      <c r="C27" s="468">
        <v>1.8</v>
      </c>
      <c r="D27" s="469"/>
      <c r="E27" s="468">
        <v>1.2</v>
      </c>
      <c r="F27" s="469"/>
      <c r="G27" s="468">
        <v>1.57</v>
      </c>
      <c r="H27" s="469"/>
      <c r="I27" s="472">
        <v>1.2789999999999999</v>
      </c>
      <c r="J27" s="473"/>
      <c r="K27" s="468">
        <v>1.67</v>
      </c>
      <c r="L27" s="469"/>
      <c r="M27" s="457"/>
      <c r="N27" s="461"/>
      <c r="O27" s="416">
        <f>R30</f>
        <v>1.5777239999999999</v>
      </c>
      <c r="P27" s="417"/>
      <c r="Q27" s="416">
        <f>R31</f>
        <v>1.5206379999999999</v>
      </c>
      <c r="R27" s="417"/>
      <c r="S27" s="416">
        <f>R32</f>
        <v>1.4283619999999999</v>
      </c>
      <c r="T27" s="417"/>
      <c r="U27" s="408">
        <f>R33</f>
        <v>1.1726479999999999</v>
      </c>
      <c r="V27" s="409"/>
      <c r="W27" s="3"/>
      <c r="Z27" s="475"/>
      <c r="AA27" s="475"/>
      <c r="AB27" s="475"/>
    </row>
    <row r="28" spans="1:30" s="95" customFormat="1" ht="19.5" customHeight="1" thickBot="1" x14ac:dyDescent="0.3">
      <c r="A28" s="92"/>
      <c r="B28" s="92"/>
      <c r="C28" s="93" t="s">
        <v>16</v>
      </c>
      <c r="D28" s="466" t="s">
        <v>6</v>
      </c>
      <c r="E28" s="467"/>
      <c r="F28" s="466" t="s">
        <v>7</v>
      </c>
      <c r="G28" s="467"/>
      <c r="H28" s="466" t="s">
        <v>8</v>
      </c>
      <c r="I28" s="467"/>
      <c r="J28" s="466" t="s">
        <v>9</v>
      </c>
      <c r="K28" s="467"/>
      <c r="L28" s="391" t="s">
        <v>30</v>
      </c>
      <c r="M28" s="393"/>
      <c r="N28" s="449" t="s">
        <v>31</v>
      </c>
      <c r="O28" s="393"/>
      <c r="P28" s="94"/>
      <c r="Q28" s="391" t="s">
        <v>102</v>
      </c>
      <c r="R28" s="392"/>
      <c r="S28" s="393"/>
      <c r="U28" s="390"/>
      <c r="V28" s="390"/>
      <c r="W28" s="3"/>
      <c r="Y28" s="96"/>
      <c r="Z28" s="386" t="s">
        <v>125</v>
      </c>
      <c r="AA28" s="386"/>
      <c r="AB28" s="386"/>
      <c r="AC28" s="386"/>
      <c r="AD28" s="386"/>
    </row>
    <row r="29" spans="1:30" ht="19.5" customHeight="1" thickBot="1" x14ac:dyDescent="0.3">
      <c r="A29" s="441"/>
      <c r="B29" s="442"/>
      <c r="C29" s="93" t="s">
        <v>33</v>
      </c>
      <c r="D29" s="423">
        <f>IF(C27&lt;E27,E27-C27,C27-E27)</f>
        <v>0.60000000000000009</v>
      </c>
      <c r="E29" s="424"/>
      <c r="F29" s="423">
        <f>IF(G27&lt;E27,E27-G27,G27-E27)</f>
        <v>0.37000000000000011</v>
      </c>
      <c r="G29" s="424"/>
      <c r="H29" s="423">
        <f>IF(I27&lt;G27,G27-I27,I27-G27)</f>
        <v>0.29100000000000015</v>
      </c>
      <c r="I29" s="424"/>
      <c r="J29" s="423">
        <f>IF(K27&lt;I27,I27-K27,K27-I27)</f>
        <v>0.39100000000000001</v>
      </c>
      <c r="K29" s="424"/>
      <c r="L29" s="423">
        <f>IF(C27&lt;E27,E27-C27,C27-E27)</f>
        <v>0.60000000000000009</v>
      </c>
      <c r="M29" s="424"/>
      <c r="N29" s="423">
        <f>IF(E27&lt;G27,G27-E27,E27-G27)</f>
        <v>0.37000000000000011</v>
      </c>
      <c r="O29" s="424"/>
      <c r="Q29" s="97" t="s">
        <v>100</v>
      </c>
      <c r="R29" s="98" t="s">
        <v>103</v>
      </c>
      <c r="S29" s="98" t="s">
        <v>111</v>
      </c>
      <c r="T29" s="99"/>
      <c r="U29" s="100"/>
      <c r="V29" s="100"/>
      <c r="W29" s="3"/>
      <c r="Y29" s="13"/>
      <c r="Z29" s="101" t="s">
        <v>5</v>
      </c>
      <c r="AA29" s="101" t="s">
        <v>70</v>
      </c>
      <c r="AB29" s="102" t="s">
        <v>121</v>
      </c>
      <c r="AC29" s="102" t="s">
        <v>122</v>
      </c>
      <c r="AD29" s="102" t="s">
        <v>10</v>
      </c>
    </row>
    <row r="30" spans="1:30" ht="19.5" customHeight="1" thickBot="1" x14ac:dyDescent="0.3">
      <c r="A30" s="443"/>
      <c r="B30" s="444"/>
      <c r="C30" s="93" t="s">
        <v>18</v>
      </c>
      <c r="D30" s="437" t="s">
        <v>17</v>
      </c>
      <c r="E30" s="438"/>
      <c r="F30" s="437">
        <f>IF(C37&gt;0,(D29*C37),"No Data")</f>
        <v>0.37080000000000007</v>
      </c>
      <c r="G30" s="438"/>
      <c r="H30" s="437">
        <f>IF(C38&gt;0,(F29*C38),"No Data")</f>
        <v>0.14134000000000005</v>
      </c>
      <c r="I30" s="438"/>
      <c r="J30" s="437">
        <f>IF(C39&gt;0,(H29*C39),"No Data")</f>
        <v>0.3701520000000002</v>
      </c>
      <c r="K30" s="438"/>
      <c r="L30" s="437">
        <f>IF(C40&gt;0,(L29*C40),"No Data")</f>
        <v>0.47160000000000007</v>
      </c>
      <c r="M30" s="438"/>
      <c r="N30" s="437">
        <f>IF(C41&gt;0,(N29*C41),"No Data")</f>
        <v>0.37000000000000011</v>
      </c>
      <c r="O30" s="438"/>
      <c r="P30" s="103" t="s">
        <v>97</v>
      </c>
      <c r="Q30" s="104">
        <v>0.23599999999999999</v>
      </c>
      <c r="R30" s="105">
        <f>IF(S30="",IF($C$27&gt;$E$27,$K$27-($J$29*Q30),$K$27+($J$29*Q30)),IF(S30="B",$G$27,0)+IF(S30="C",$I$27,0)+IF(S30="A",$E$27,0)+IF(S30="X",$C$27,0))</f>
        <v>1.5777239999999999</v>
      </c>
      <c r="S30" s="104"/>
      <c r="T30" s="106"/>
      <c r="U30" s="76"/>
      <c r="V30" s="76"/>
      <c r="W30" s="3"/>
      <c r="Y30" s="107" t="s">
        <v>74</v>
      </c>
      <c r="Z30" s="108">
        <f>G25-C25</f>
        <v>16</v>
      </c>
      <c r="AA30" s="108">
        <f>IF(C27&lt;G27,G27-C27,C27-G27)</f>
        <v>0.22999999999999998</v>
      </c>
      <c r="AB30" s="109">
        <f>C25+Z30/2</f>
        <v>8</v>
      </c>
      <c r="AC30" s="109">
        <f>IF(C27&gt;G27,C27-(AA30/2),C27+(AA30/2))</f>
        <v>1.6850000000000001</v>
      </c>
      <c r="AD30" s="110">
        <f>F29/D29</f>
        <v>0.61666666666666681</v>
      </c>
    </row>
    <row r="31" spans="1:30" ht="19.5" customHeight="1" thickBot="1" x14ac:dyDescent="0.3">
      <c r="A31" s="443"/>
      <c r="B31" s="444"/>
      <c r="C31" s="93" t="s">
        <v>19</v>
      </c>
      <c r="D31" s="437" t="s">
        <v>17</v>
      </c>
      <c r="E31" s="438"/>
      <c r="F31" s="437" t="str">
        <f>IF(D37&gt;0,(D29*D37),"No Data")</f>
        <v>No Data</v>
      </c>
      <c r="G31" s="438"/>
      <c r="H31" s="437">
        <f>IF(D38&gt;0,(F29*D38),"No Data")</f>
        <v>0.22866000000000006</v>
      </c>
      <c r="I31" s="438"/>
      <c r="J31" s="437">
        <f>IF(D39&gt;0,(H29*D39),"No Data")</f>
        <v>0.47083800000000026</v>
      </c>
      <c r="K31" s="438"/>
      <c r="L31" s="437" t="str">
        <f>IF(D40&gt;0,(L29*D40),"No Data")</f>
        <v>No Data</v>
      </c>
      <c r="M31" s="438"/>
      <c r="N31" s="437">
        <f>IF(D41&gt;0,(N29*D41),"No Data")</f>
        <v>0.47064000000000017</v>
      </c>
      <c r="O31" s="438"/>
      <c r="P31" s="103" t="s">
        <v>98</v>
      </c>
      <c r="Q31" s="111">
        <v>0.38200000000000001</v>
      </c>
      <c r="R31" s="105">
        <f>IF(S31="",IF($C$27&gt;$E$27,$K$27-($J$29*Q31),$K$27+($J$29*Q31)),IF(S31="B",$G$27,0)+IF(S31="C",$I$27,0)+IF(S31="A",$E$27,0)+IF(S31="X",$C$27,0))</f>
        <v>1.5206379999999999</v>
      </c>
      <c r="S31" s="104"/>
      <c r="U31" s="76"/>
      <c r="V31" s="76"/>
      <c r="W31" s="3"/>
      <c r="Y31" s="107" t="s">
        <v>118</v>
      </c>
      <c r="Z31" s="108">
        <f>K25-C25</f>
        <v>30</v>
      </c>
      <c r="AA31" s="108">
        <f>IF(C27&lt;K27,K27-C27,C27-K27)</f>
        <v>0.13000000000000012</v>
      </c>
      <c r="AB31" s="109">
        <f>C25+Z31/2</f>
        <v>15</v>
      </c>
      <c r="AC31" s="109">
        <f>IF(C27&gt;K27,C27-(AA31/2),C27+(AA31/2))</f>
        <v>1.7349999999999999</v>
      </c>
      <c r="AD31" s="110">
        <f>(IF(E27&gt;K27,E27-K27,K27-E27)/(D29))</f>
        <v>0.78333333333333321</v>
      </c>
    </row>
    <row r="32" spans="1:30" ht="19.5" customHeight="1" thickBot="1" x14ac:dyDescent="0.3">
      <c r="A32" s="443"/>
      <c r="B32" s="444"/>
      <c r="C32" s="93" t="s">
        <v>20</v>
      </c>
      <c r="D32" s="437" t="s">
        <v>17</v>
      </c>
      <c r="E32" s="438"/>
      <c r="F32" s="437" t="str">
        <f>IF(E37&gt;0,(D29*E37),"No Data")</f>
        <v>No Data</v>
      </c>
      <c r="G32" s="438"/>
      <c r="H32" s="437">
        <f>IF(E38&gt;0,(F29*E38),"No Data")</f>
        <v>0.29082000000000008</v>
      </c>
      <c r="I32" s="438"/>
      <c r="J32" s="437">
        <f>IF(E39&gt;0,(H29*E39),"No Data")</f>
        <v>0.32883000000000012</v>
      </c>
      <c r="K32" s="438"/>
      <c r="L32" s="437" t="str">
        <f>IF(E40&gt;0,(L29*E40),"No Data")</f>
        <v>No Data</v>
      </c>
      <c r="M32" s="438"/>
      <c r="N32" s="437" t="str">
        <f>IF(E41&gt;0,(N29*E41),"No Data")</f>
        <v>No Data</v>
      </c>
      <c r="O32" s="438"/>
      <c r="P32" s="103" t="s">
        <v>99</v>
      </c>
      <c r="Q32" s="104">
        <v>0.61799999999999999</v>
      </c>
      <c r="R32" s="105">
        <f t="shared" ref="R32:R33" si="0">IF(S32="",IF($C$27&gt;$E$27,$K$27-($J$29*Q32),$K$27+($J$29*Q32)),IF(S32="B",$G$27,0)+IF(S32="C",$I$27,0)+IF(S32="A",$E$27,0)+IF(S32="X",$C$27,0))</f>
        <v>1.4283619999999999</v>
      </c>
      <c r="S32" s="104"/>
      <c r="U32" s="76"/>
      <c r="V32" s="76"/>
      <c r="W32" s="3"/>
      <c r="Y32" s="107" t="s">
        <v>119</v>
      </c>
      <c r="Z32" s="108">
        <f>I25-E25</f>
        <v>14</v>
      </c>
      <c r="AA32" s="108">
        <f>IF(E27&lt;I27,I27-E27,E27-I27)</f>
        <v>7.8999999999999959E-2</v>
      </c>
      <c r="AB32" s="109">
        <f>E25+(Z32/2)</f>
        <v>16</v>
      </c>
      <c r="AC32" s="109">
        <f>IF(E27&gt;I27,E27-(AA32/2),E27+(AA32/2))</f>
        <v>1.2395</v>
      </c>
      <c r="AD32" s="110">
        <f>H29/F29</f>
        <v>0.78648648648648667</v>
      </c>
    </row>
    <row r="33" spans="1:30" ht="19.5" customHeight="1" thickBot="1" x14ac:dyDescent="0.3">
      <c r="A33" s="445"/>
      <c r="B33" s="446"/>
      <c r="C33" s="93" t="s">
        <v>21</v>
      </c>
      <c r="D33" s="437" t="s">
        <v>17</v>
      </c>
      <c r="E33" s="438"/>
      <c r="F33" s="437" t="str">
        <f>IF(F37&gt;0,(D29*F37),"No Data")</f>
        <v>No Data</v>
      </c>
      <c r="G33" s="438"/>
      <c r="H33" s="437">
        <f>IF(F38&gt;0,(F29*F38),"No Data")</f>
        <v>0.32782000000000011</v>
      </c>
      <c r="I33" s="438"/>
      <c r="J33" s="437" t="str">
        <f>IF(F39&gt;0,(H29*F39),"No Data")</f>
        <v>No Data</v>
      </c>
      <c r="K33" s="438"/>
      <c r="L33" s="437" t="str">
        <f>IF(F40&gt;0,(L29*F40),"No Data")</f>
        <v>No Data</v>
      </c>
      <c r="M33" s="438"/>
      <c r="N33" s="437" t="str">
        <f>IF(F41&gt;0,(N29*F41),"No Data")</f>
        <v>No Data</v>
      </c>
      <c r="O33" s="438"/>
      <c r="P33" s="112" t="s">
        <v>101</v>
      </c>
      <c r="Q33" s="113">
        <v>1.272</v>
      </c>
      <c r="R33" s="105">
        <f t="shared" si="0"/>
        <v>1.1726479999999999</v>
      </c>
      <c r="S33" s="104"/>
      <c r="U33" s="76"/>
      <c r="V33" s="76"/>
      <c r="W33" s="3"/>
      <c r="Y33" s="107" t="s">
        <v>120</v>
      </c>
      <c r="Z33" s="108">
        <f>K25-G25</f>
        <v>14</v>
      </c>
      <c r="AA33" s="108">
        <f>IF(K27&gt;G27,K27-G27,G27-K27)</f>
        <v>9.9999999999999867E-2</v>
      </c>
      <c r="AB33" s="109">
        <f>G25+(Z33/2)</f>
        <v>23</v>
      </c>
      <c r="AC33" s="109">
        <f>IF(G27&gt;K27,G27-(AA33/2),G27+(AA33/2))</f>
        <v>1.62</v>
      </c>
      <c r="AD33" s="110">
        <f>J29/H29</f>
        <v>1.3436426116838482</v>
      </c>
    </row>
    <row r="34" spans="1:30" ht="19.5" customHeight="1" thickBot="1" x14ac:dyDescent="0.3">
      <c r="A34" s="432" t="str">
        <f>CONCATENATE(IF(C27&gt;E27,"Bearish",""),(IF(C27&lt;E27,"Bullish","")))</f>
        <v>Bearish</v>
      </c>
      <c r="B34" s="433"/>
      <c r="N34" s="114"/>
      <c r="W34" s="3"/>
    </row>
    <row r="35" spans="1:30" ht="15.75" thickBot="1" x14ac:dyDescent="0.3">
      <c r="C35" s="418" t="s">
        <v>50</v>
      </c>
      <c r="D35" s="419"/>
      <c r="E35" s="419"/>
      <c r="F35" s="420"/>
      <c r="G35" s="427" t="s">
        <v>49</v>
      </c>
      <c r="H35" s="428"/>
      <c r="I35" s="428"/>
      <c r="J35" s="429"/>
      <c r="K35" s="427" t="s">
        <v>52</v>
      </c>
      <c r="L35" s="428"/>
      <c r="M35" s="428"/>
      <c r="N35" s="428"/>
      <c r="O35" s="427" t="s">
        <v>92</v>
      </c>
      <c r="P35" s="428"/>
      <c r="Q35" s="428"/>
      <c r="R35" s="429"/>
      <c r="S35" s="384" t="s">
        <v>65</v>
      </c>
      <c r="T35" s="385"/>
      <c r="W35" s="3"/>
    </row>
    <row r="36" spans="1:30" s="123" customFormat="1" ht="23.25" customHeight="1" thickBot="1" x14ac:dyDescent="0.3">
      <c r="A36" s="115" t="s">
        <v>10</v>
      </c>
      <c r="B36" s="116" t="s">
        <v>51</v>
      </c>
      <c r="C36" s="117">
        <v>1</v>
      </c>
      <c r="D36" s="117">
        <v>2</v>
      </c>
      <c r="E36" s="117">
        <v>3</v>
      </c>
      <c r="F36" s="117">
        <v>4</v>
      </c>
      <c r="G36" s="118">
        <v>1</v>
      </c>
      <c r="H36" s="118">
        <v>2</v>
      </c>
      <c r="I36" s="118">
        <v>3</v>
      </c>
      <c r="J36" s="118">
        <v>4</v>
      </c>
      <c r="K36" s="119">
        <v>1</v>
      </c>
      <c r="L36" s="119">
        <v>2</v>
      </c>
      <c r="M36" s="119">
        <v>3</v>
      </c>
      <c r="N36" s="120">
        <v>4</v>
      </c>
      <c r="O36" s="118">
        <v>1</v>
      </c>
      <c r="P36" s="119">
        <v>2</v>
      </c>
      <c r="Q36" s="118">
        <v>3</v>
      </c>
      <c r="R36" s="119">
        <v>4</v>
      </c>
      <c r="S36" s="121" t="s">
        <v>63</v>
      </c>
      <c r="T36" s="122" t="s">
        <v>64</v>
      </c>
      <c r="W36" s="3"/>
      <c r="Z36" s="124"/>
    </row>
    <row r="37" spans="1:30" s="14" customFormat="1" ht="15.75" thickBot="1" x14ac:dyDescent="0.3">
      <c r="A37" s="125" t="s">
        <v>11</v>
      </c>
      <c r="B37" s="126" t="s">
        <v>6</v>
      </c>
      <c r="C37" s="127">
        <f>IF($B$26=1,C73,0)+IF($B$26=2,C109,0)+IF($B$26=3,C145,0)+IF($B$26=4,C181,0)+IF($B$26=5,C217,0)+IF($B$26=6,C253,0)+IF($B$26=7,C289,0)+IF($B$26=8,C325,0)+IF($B$26=9,C361,0)+IF($B$26=10,C397,0)+IF($B$26=11,#REF!,0)+IF($B$26=12,#REF!,0)+IF($B$26=13,#REF!,0)+IF($B$26=14,#REF!,0)+IF($B$26=15,#REF!,0)+IF($B$26=16,#REF!,0)+IF($B$26=17,#REF!,0)</f>
        <v>0.61799999999999999</v>
      </c>
      <c r="D37" s="128">
        <f>IF($B$26=1,D73,0)+IF($B$26=2,D109,0)+IF($B$26=3,D145,0)+IF($B$26=4,D181,0)+IF($B$26=5,D217,0)+IF($B$26=6,D253,0)+IF($B$26=7,D289,0)+IF($B$26=8,D325,0)+IF($B$26=9,D361,0)+IF($B$26=10,D397,0)+IF($B$26=11,#REF!,0)+IF($B$26=12,#REF!,0)+IF($B$26=13,#REF!,0)+IF($B$26=14,#REF!,0)+IF($B$26=15,#REF!,0)+IF($B$26=16,#REF!,0)+IF($B$26=17,#REF!,0)</f>
        <v>0</v>
      </c>
      <c r="E37" s="128">
        <f>IF($B$26=1,E73,0)+IF($B$26=2,E109,0)+IF($B$26=3,E145,0)+IF($B$26=4,E181,0)+IF($B$26=5,E217,0)+IF($B$26=6,E253,0)+IF($B$26=7,E289,0)+IF($B$26=8,E325,0)+IF($B$26=9,E361,0)+IF($B$26=10,E397,0)+IF($B$26=11,#REF!,0)+IF($B$26=12,#REF!,0)+IF($B$26=13,#REF!,0)+IF($B$26=14,#REF!,0)+IF($B$26=15,#REF!,0)+IF($B$26=16,#REF!,0)+IF($B$26=17,#REF!,0)</f>
        <v>0</v>
      </c>
      <c r="F37" s="129">
        <f>IF($B$26=1,F73,0)+IF($B$26=2,F109,0)+IF($B$26=3,F145,0)+IF($B$26=4,F181,0)+IF($B$26=5,F217,0)+IF($B$26=6,F253,0)+IF($B$26=7,F289,0)+IF($B$26=8,F325,0)+IF($B$26=9,F361,0)+IF($B$26=10,F397,0)+IF($B$26=11,#REF!,0)+IF($B$26=12,#REF!,0)+IF($B$26=13,#REF!,0)+IF($B$26=14,#REF!,0)+IF($B$26=15,#REF!,0)+IF($B$26=16,#REF!,0)+IF($B$26=17,#REF!,0)</f>
        <v>0</v>
      </c>
      <c r="G37" s="130">
        <f>IF(C27&gt;E27,IF(C37&gt;0,E27+(D29*C37),0),IF(C37&gt;0,E27-(D29*C37),0))</f>
        <v>1.5708</v>
      </c>
      <c r="H37" s="131">
        <f>IF(C27&gt;E27,IF(D37&gt;0,E27+(D29*D37),0),IF(D37&gt;0,E27-(D29*D37),0))</f>
        <v>0</v>
      </c>
      <c r="I37" s="131">
        <f>IF(C27&gt;E27,IF(E37&gt;0,E27+(D29*E37),0),IF(E37&gt;0,E27-(D29*E37),0))</f>
        <v>0</v>
      </c>
      <c r="J37" s="132">
        <f>IF(C27&gt;E27,IF(F37&gt;0,E27+(D29*F37),0),IF(F37&gt;0,E27-(D29*F37),0))</f>
        <v>0</v>
      </c>
      <c r="K37" s="133">
        <f>IF(C37&gt;0,IF(G37&lt;G27,G27-G37,G37-G27),0)</f>
        <v>7.9999999999991189E-4</v>
      </c>
      <c r="L37" s="134">
        <f>IF(D37&gt;0,IF(H37&lt;G27,G27-H37,H37-G27),0)</f>
        <v>0</v>
      </c>
      <c r="M37" s="134">
        <f>IF(E37&gt;0,IF(I37&lt;G27,G27-I37,I37-G27),0)</f>
        <v>0</v>
      </c>
      <c r="N37" s="135">
        <f>IF(F37&gt;0,IF(J37&lt;G27,G27-J37,J37-G27),0)</f>
        <v>0</v>
      </c>
      <c r="O37" s="130">
        <f t="shared" ref="O37:R45" si="1">IF(C37=0,"No Data",G37)</f>
        <v>1.5708</v>
      </c>
      <c r="P37" s="131" t="str">
        <f>IF(D37=0,"No Data",H37)</f>
        <v>No Data</v>
      </c>
      <c r="Q37" s="131" t="str">
        <f t="shared" si="1"/>
        <v>No Data</v>
      </c>
      <c r="R37" s="132" t="str">
        <f t="shared" si="1"/>
        <v>No Data</v>
      </c>
      <c r="S37" s="136">
        <f t="shared" ref="S37:S41" si="2">MAX(O37:R37)</f>
        <v>1.5708</v>
      </c>
      <c r="T37" s="137">
        <f t="shared" ref="T37:T41" si="3">MIN(O37:R37)</f>
        <v>1.5708</v>
      </c>
      <c r="V37" s="138"/>
      <c r="W37" s="3"/>
      <c r="Y37" s="4"/>
      <c r="Z37" s="5"/>
    </row>
    <row r="38" spans="1:30" s="14" customFormat="1" ht="15.75" thickBot="1" x14ac:dyDescent="0.3">
      <c r="A38" s="125" t="s">
        <v>12</v>
      </c>
      <c r="B38" s="139" t="s">
        <v>7</v>
      </c>
      <c r="C38" s="140">
        <f>IF($B$26=1,C74,0)+IF($B$26=2,C110,0)+IF($B$26=3,C146,0)+IF($B$26=4,C182,0)+IF($B$26=5,C218,0)+IF($B$26=6,C254,0)+IF($B$26=7,C290,0)+IF($B$26=8,C326,0)+IF($B$26=9,C362,0)+IF($B$26=10,C398,0)+IF($B$26=11,#REF!,0)+IF($B$26=12,#REF!,0)+IF($B$26=13,#REF!,0)+IF($B$26=14,#REF!,0)+IF($B$26=15,#REF!,0)+IF($B$26=16,#REF!,0)+IF($B$26=17,#REF!,0)</f>
        <v>0.38200000000000001</v>
      </c>
      <c r="D38" s="141">
        <f>IF($B$26=1,D74,0)+IF($B$26=2,D110,0)+IF($B$26=3,D146,0)+IF($B$26=4,D182,0)+IF($B$26=5,D218,0)+IF($B$26=6,D254,0)+IF($B$26=7,D290,0)+IF($B$26=8,D326,0)+IF($B$26=9,D362,0)+IF($B$26=10,D398,0)+IF($B$26=11,#REF!,0)+IF($B$26=12,#REF!,0)+IF($B$26=13,#REF!,0)+IF($B$26=14,#REF!,0)+IF($B$26=15,#REF!,0)+IF($B$26=16,#REF!,0)+IF($B$26=17,#REF!,0)</f>
        <v>0.61799999999999999</v>
      </c>
      <c r="E38" s="141">
        <f>IF($B$26=1,E74,0)+IF($B$26=2,E110,0)+IF($B$26=3,E146,0)+IF($B$26=4,E182,0)+IF($B$26=5,E218,0)+IF($B$26=6,E254,0)+IF($B$26=7,E290,0)+IF($B$26=8,E326,0)+IF($B$26=9,E362,0)+IF($B$26=10,E398,0)+IF($B$26=11,#REF!,0)+IF($B$26=12,#REF!,0)+IF($B$26=13,#REF!,0)+IF($B$26=14,#REF!,0)+IF($B$26=15,#REF!,0)+IF($B$26=16,#REF!,0)+IF($B$26=17,#REF!,0)</f>
        <v>0.78600000000000003</v>
      </c>
      <c r="F38" s="142">
        <f>IF($B$26=1,F74,0)+IF($B$26=2,F110,0)+IF($B$26=3,F146,0)+IF($B$26=4,F182,0)+IF($B$26=5,F218,0)+IF($B$26=6,F254,0)+IF($B$26=7,F290,0)+IF($B$26=8,F326,0)+IF($B$26=9,F362,0)+IF($B$26=10,F398,0)+IF($B$26=11,#REF!,0)+IF($B$26=12,#REF!,0)+IF($B$26=13,#REF!,0)+IF($B$26=14,#REF!,0)+IF($B$26=15,#REF!,0)+IF($B$26=16,#REF!,0)+IF($B$26=17,#REF!,0)</f>
        <v>0.88600000000000001</v>
      </c>
      <c r="G38" s="143">
        <f>IF(C27&gt;E27,IF(C38&gt;0,G27-(F29*C38),0),IF(C38&gt;0,G27+(F29*C38),0))</f>
        <v>1.42866</v>
      </c>
      <c r="H38" s="144">
        <f>IF(C27&gt;E27,IF(D38&gt;0,G27-(F29*D38),0),IF(D38&gt;0,G27+(F29*D38),0))</f>
        <v>1.34134</v>
      </c>
      <c r="I38" s="144">
        <f>IF(C27&gt;E27,IF(E38&gt;0,G27-(F29*E38),0),IF(E38&gt;0,G27+(F29*E38),0))</f>
        <v>1.27918</v>
      </c>
      <c r="J38" s="145">
        <f>IF(C27&gt;E27,IF(F38&gt;0,G27-(F29*F38),0),IF(F38&gt;0,G27+(F29*F38),0))</f>
        <v>1.2421799999999998</v>
      </c>
      <c r="K38" s="146">
        <f>IF(C38&gt;0,IF(G38&lt;I27,I27-G38,G38-I27),0)</f>
        <v>0.14966000000000013</v>
      </c>
      <c r="L38" s="147">
        <f>IF(D38&gt;0,IF(H38&lt;I27,I27-H38,H38-I27),0)</f>
        <v>6.2340000000000062E-2</v>
      </c>
      <c r="M38" s="147">
        <f>IF(E38&gt;0,IF(I38&lt;I27,I27-I38,I38-I27),0)</f>
        <v>1.8000000000006899E-4</v>
      </c>
      <c r="N38" s="148">
        <f>IF(F38&gt;0,IF(J38&lt;I27,I27-J38,J38-I27),0)</f>
        <v>3.6820000000000075E-2</v>
      </c>
      <c r="O38" s="143">
        <f t="shared" si="1"/>
        <v>1.42866</v>
      </c>
      <c r="P38" s="144">
        <f>IF(D38=0,"No Data",H38)</f>
        <v>1.34134</v>
      </c>
      <c r="Q38" s="144">
        <f t="shared" si="1"/>
        <v>1.27918</v>
      </c>
      <c r="R38" s="145">
        <f t="shared" si="1"/>
        <v>1.2421799999999998</v>
      </c>
      <c r="S38" s="149">
        <f t="shared" si="2"/>
        <v>1.42866</v>
      </c>
      <c r="T38" s="150">
        <f t="shared" si="3"/>
        <v>1.2421799999999998</v>
      </c>
      <c r="W38" s="3"/>
      <c r="Y38" s="4"/>
      <c r="Z38" s="5"/>
    </row>
    <row r="39" spans="1:30" s="14" customFormat="1" ht="15.75" thickBot="1" x14ac:dyDescent="0.3">
      <c r="A39" s="125" t="s">
        <v>13</v>
      </c>
      <c r="B39" s="139" t="s">
        <v>8</v>
      </c>
      <c r="C39" s="140">
        <f>IF($B$26=1,C75,0)+IF($B$26=2,C111,0)+IF($B$26=3,C147,0)+IF($B$26=4,C183,0)+IF($B$26=5,C219,0)+IF($B$26=6,C255,0)+IF($B$26=7,C291,0)+IF($B$26=8,C327,0)+IF($B$26=9,C363,0)+IF($B$26=10,C399,0)+IF($B$26=11,#REF!,0)+IF($B$26=12,#REF!,0)+IF($B$26=13,#REF!,0)+IF($B$26=14,#REF!,0)+IF($B$26=15,#REF!,0)+IF($B$26=16,#REF!,0)+IF($B$26=17,#REF!,0)</f>
        <v>1.272</v>
      </c>
      <c r="D39" s="141">
        <f>IF($B$26=1,D75,0)+IF($B$26=2,D111,0)+IF($B$26=3,D147,0)+IF($B$26=4,D183,0)+IF($B$26=5,D219,0)+IF($B$26=6,D255,0)+IF($B$26=7,D291,0)+IF($B$26=8,D327,0)+IF($B$26=9,D363,0)+IF($B$26=10,D399,0)+IF($B$26=11,#REF!,0)+IF($B$26=12,#REF!,0)+IF($B$26=13,#REF!,0)+IF($B$26=14,#REF!,0)+IF($B$26=15,#REF!,0)+IF($B$26=16,#REF!,0)+IF($B$26=17,#REF!,0)</f>
        <v>1.6180000000000001</v>
      </c>
      <c r="E39" s="141">
        <f>IF($B$26=1,E75,0)+IF($B$26=2,E111,0)+IF($B$26=3,E147,0)+IF($B$26=4,E183,0)+IF($B$26=5,E219,0)+IF($B$26=6,E255,0)+IF($B$26=7,E291,0)+IF($B$26=8,E327,0)+IF($B$26=9,E363,0)+IF($B$26=10,E399,0)+IF($B$26=11,#REF!,0)+IF($B$26=12,#REF!,0)+IF($B$26=13,#REF!,0)+IF($B$26=14,#REF!,0)+IF($B$26=15,#REF!,0)+IF($B$26=16,#REF!,0)+IF($B$26=17,#REF!,0)</f>
        <v>1.1299999999999999</v>
      </c>
      <c r="F39" s="142">
        <f>IF($B$26=1,F75,0)+IF($B$26=2,F111,0)+IF($B$26=3,F147,0)+IF($B$26=4,F183,0)+IF($B$26=5,F219,0)+IF($B$26=6,F255,0)+IF($B$26=7,F291,0)+IF($B$26=8,F327,0)+IF($B$26=9,F363,0)+IF($B$26=10,F399,0)+IF($B$26=11,#REF!,0)+IF($B$26=12,#REF!,0)+IF($B$26=13,#REF!,0)+IF($B$26=14,#REF!,0)+IF($B$26=15,#REF!,0)+IF($B$26=16,#REF!,0)+IF($B$26=17,#REF!,0)</f>
        <v>0</v>
      </c>
      <c r="G39" s="143">
        <f>IF(C27&gt;E27,IF(C39&gt;0,I27+(H29*C39),0),IF(C39&gt;0,I27-(H29*C39),0))</f>
        <v>1.6491520000000002</v>
      </c>
      <c r="H39" s="144">
        <f>IF(C27&gt;E27,IF(D39&gt;0,I27+(H29*D39),0),IF(D39&gt;0,I27-(H29*D39),0))</f>
        <v>1.7498380000000002</v>
      </c>
      <c r="I39" s="144">
        <f>IF(C27&gt;E27,IF(E39&gt;0,I27+(H29*E39),0),IF(E39&gt;0,I27-(H29*E39),0))</f>
        <v>1.6078300000000001</v>
      </c>
      <c r="J39" s="145">
        <f>IF(C27&gt;E27,IF(F39&gt;0,I27+(H29*F39),0),IF(F39&gt;0,I27-(H29*F39),0))</f>
        <v>0</v>
      </c>
      <c r="K39" s="146">
        <f>IF(C39&gt;0,IF(G39&lt;K27,K27-G39,G39-K27),0)</f>
        <v>2.0847999999999756E-2</v>
      </c>
      <c r="L39" s="147">
        <f>IF(D39&gt;0,IF(H39&lt;K27,K27-H39,H39-K27),0)</f>
        <v>7.9838000000000298E-2</v>
      </c>
      <c r="M39" s="147">
        <f>IF(E39&gt;0,IF(I39&lt;K27,K27-I39,I39-K27),0)</f>
        <v>6.2169999999999837E-2</v>
      </c>
      <c r="N39" s="148">
        <f>IF(F39&gt;0,IF(J39&lt;K27,K27-J39,J39-K27),0)</f>
        <v>0</v>
      </c>
      <c r="O39" s="143">
        <f t="shared" si="1"/>
        <v>1.6491520000000002</v>
      </c>
      <c r="P39" s="144">
        <f t="shared" si="1"/>
        <v>1.7498380000000002</v>
      </c>
      <c r="Q39" s="144">
        <f t="shared" si="1"/>
        <v>1.6078300000000001</v>
      </c>
      <c r="R39" s="145" t="str">
        <f t="shared" si="1"/>
        <v>No Data</v>
      </c>
      <c r="S39" s="151">
        <f t="shared" si="2"/>
        <v>1.7498380000000002</v>
      </c>
      <c r="T39" s="150">
        <f>MIN(O39:R39)</f>
        <v>1.6078300000000001</v>
      </c>
      <c r="W39" s="3"/>
      <c r="Y39" s="4"/>
      <c r="Z39" s="5"/>
    </row>
    <row r="40" spans="1:30" s="14" customFormat="1" ht="15.75" thickBot="1" x14ac:dyDescent="0.3">
      <c r="A40" s="125" t="s">
        <v>14</v>
      </c>
      <c r="B40" s="139" t="s">
        <v>6</v>
      </c>
      <c r="C40" s="140">
        <f>IF($B$26=1,C76,0)+IF($B$26=2,C112,0)+IF($B$26=3,C148,0)+IF($B$26=4,C184,0)+IF($B$26=5,C220,0)+IF($B$26=6,C256,0)+IF($B$26=7,C292,0)+IF($B$26=8,C328,0)+IF($B$26=9,C364,0)+IF($B$26=10,C400,0)+IF($B$26=11,#REF!,0)+IF($B$26=12,#REF!,0)+IF($B$26=13,#REF!,0)+IF($B$26=14,#REF!,0)+IF($B$26=15,#REF!,0)+IF($B$26=16,#REF!,0)+IF($B$26=17,#REF!,0)</f>
        <v>0.78600000000000003</v>
      </c>
      <c r="D40" s="141">
        <f>IF($B$26=1,D76,0)+IF($B$26=2,D112,0)+IF($B$26=3,D148,0)+IF($B$26=4,D184,0)+IF($B$26=5,D220,0)+IF($B$26=6,D256,0)+IF($B$26=7,D292,0)+IF($B$26=8,D328,0)+IF($B$26=9,D364,0)+IF($B$26=10,D400,0)+IF($B$26=11,#REF!,0)+IF($B$26=12,#REF!,0)+IF($B$26=13,#REF!,0)+IF($B$26=14,#REF!,0)+IF($B$26=15,#REF!,0)+IF($B$26=16,#REF!,0)+IF($B$26=17,#REF!,0)</f>
        <v>0</v>
      </c>
      <c r="E40" s="141">
        <f>IF($B$26=1,E76,0)+IF($B$26=2,E112,0)+IF($B$26=3,E148,0)+IF($B$26=4,E184,0)+IF($B$26=5,E220,0)+IF($B$26=6,E256,0)+IF($B$26=7,E292,0)+IF($B$26=8,E328,0)+IF($B$26=9,E364,0)+IF($B$26=10,E400,0)+IF($B$26=11,#REF!,0)+IF($B$26=12,#REF!,0)+IF($B$26=13,#REF!,0)+IF($B$26=14,#REF!,0)+IF($B$26=15,#REF!,0)+IF($B$26=16,#REF!,0)+IF($B$26=17,#REF!,0)</f>
        <v>0</v>
      </c>
      <c r="F40" s="142">
        <f>IF($B$26=1,F76,0)+IF($B$26=2,F112,0)+IF($B$26=3,F148,0)+IF($B$26=4,F184,0)+IF($B$26=5,F220,0)+IF($B$26=6,F256,0)+IF($B$26=7,F292,0)+IF($B$26=8,F328,0)+IF($B$26=9,F364,0)+IF($B$26=10,F400,0)+IF($B$26=11,#REF!,0)+IF($B$26=12,#REF!,0)+IF($B$26=13,#REF!,0)+IF($B$26=14,#REF!,0)+IF($B$26=15,#REF!,0)+IF($B$26=16,#REF!,0)+IF($B$26=17,#REF!,0)</f>
        <v>0</v>
      </c>
      <c r="G40" s="152">
        <f>IF(C27&gt;E27,IF(C40&gt;0,E27+(D29*C40),0),IF(C40&gt;0,E27-(D29*C40),0))</f>
        <v>1.6716</v>
      </c>
      <c r="H40" s="144">
        <f>IF(C27&gt;E27,IF(D40&gt;0,E27+(D29*D40),0),IF(D40&gt;0,E27-(D29*D40),0))</f>
        <v>0</v>
      </c>
      <c r="I40" s="144">
        <f>IF(C27&gt;E27,IF(E40&gt;0,E27+(D29*E40),0),IF(E40&gt;0,E27-(D29*E40),0))</f>
        <v>0</v>
      </c>
      <c r="J40" s="153">
        <f>IF(C27&gt;E27,IF(F40&gt;0,E27+(D29*F40),0),IF(F40&gt;0,E27-(D29*F40),0))</f>
        <v>0</v>
      </c>
      <c r="K40" s="146">
        <f>IF(C40&gt;0,IF(G40&lt;K27,K27-G40,G40-K27),0)</f>
        <v>1.6000000000000458E-3</v>
      </c>
      <c r="L40" s="147">
        <f>IF(D40&gt;0,IF(H40&lt;K27,K27-H40,H40-K27),0)</f>
        <v>0</v>
      </c>
      <c r="M40" s="147">
        <f>IF(E40&gt;0,IF(I40&lt;K27,K27-I40,I40-K27),0)</f>
        <v>0</v>
      </c>
      <c r="N40" s="148">
        <f>IF(F40&gt;0,IF(J40&lt;K27,K27-J40,J40-K27),0)</f>
        <v>0</v>
      </c>
      <c r="O40" s="152">
        <f t="shared" si="1"/>
        <v>1.6716</v>
      </c>
      <c r="P40" s="144" t="str">
        <f t="shared" si="1"/>
        <v>No Data</v>
      </c>
      <c r="Q40" s="144" t="str">
        <f t="shared" si="1"/>
        <v>No Data</v>
      </c>
      <c r="R40" s="153" t="str">
        <f t="shared" si="1"/>
        <v>No Data</v>
      </c>
      <c r="S40" s="149">
        <f t="shared" si="2"/>
        <v>1.6716</v>
      </c>
      <c r="T40" s="150">
        <f t="shared" si="3"/>
        <v>1.6716</v>
      </c>
      <c r="W40" s="3"/>
      <c r="Y40" s="4"/>
      <c r="Z40" s="5"/>
    </row>
    <row r="41" spans="1:30" s="76" customFormat="1" ht="15.75" thickBot="1" x14ac:dyDescent="0.3">
      <c r="A41" s="154" t="s">
        <v>29</v>
      </c>
      <c r="B41" s="155" t="s">
        <v>7</v>
      </c>
      <c r="C41" s="156">
        <f>IF($B$26=1,C77,0)+IF($B$26=2,C113,0)+IF($B$26=3,C149,0)+IF($B$26=4,C185,0)+IF($B$26=5,C221,0)+IF($B$26=6,C257,0)+IF($B$26=7,C293,0)+IF($B$26=8,C329,0)+IF($B$26=9,C365,0)+IF($B$26=10,C401,0)+IF($B$26=11,#REF!,0)+IF($B$26=12,#REF!,0)+IF($B$26=13,#REF!,0)+IF($B$26=14,#REF!,0)+IF($B$26=15,#REF!,0)+IF($B$26=16,#REF!,0)+IF($B$26=17,#REF!,0)</f>
        <v>1</v>
      </c>
      <c r="D41" s="157">
        <f>IF($B$26=1,D77,0)+IF($B$26=2,D113,0)+IF($B$26=3,D149,0)+IF($B$26=4,D185,0)+IF($B$26=5,D221,0)+IF($B$26=6,D257,0)+IF($B$26=7,D293,0)+IF($B$26=8,D329,0)+IF($B$26=9,D365,0)+IF($B$26=10,D401,0)+IF($B$26=11,#REF!,0)+IF($B$26=12,#REF!,0)+IF($B$26=13,#REF!,0)+IF($B$26=14,#REF!,0)+IF($B$26=15,#REF!,0)+IF($B$26=16,#REF!,0)+IF($B$26=17,#REF!,0)</f>
        <v>1.272</v>
      </c>
      <c r="E41" s="157">
        <f>IF($B$26=1,E77,0)+IF($B$26=2,E113,0)+IF($B$26=3,E149,0)+IF($B$26=4,E185,0)+IF($B$26=5,E221,0)+IF($B$26=6,E257,0)+IF($B$26=7,E293,0)+IF($B$26=8,E329,0)+IF($B$26=9,E365,0)+IF($B$26=10,E401,0)+IF($B$26=11,#REF!,0)+IF($B$26=12,#REF!,0)+IF($B$26=13,#REF!,0)+IF($B$26=14,#REF!,0)+IF($B$26=15,#REF!,0)+IF($B$26=16,#REF!,0)+IF($B$26=17,#REF!,0)</f>
        <v>0</v>
      </c>
      <c r="F41" s="158">
        <f>IF($B$26=1,F77,0)+IF($B$26=2,F113,0)+IF($B$26=3,F149,0)+IF($B$26=4,F185,0)+IF($B$26=5,F221,0)+IF($B$26=6,F257,0)+IF($B$26=7,F293,0)+IF($B$26=8,F329,0)+IF($B$26=9,F365,0)+IF($B$26=10,F401,0)+IF($B$26=11,#REF!,0)+IF($B$26=12,#REF!,0)+IF($B$26=13,#REF!,0)+IF($B$26=14,#REF!,0)+IF($B$26=15,#REF!,0)+IF($B$26=16,#REF!,0)+IF($B$26=17,#REF!,0)</f>
        <v>0</v>
      </c>
      <c r="G41" s="159">
        <f>IF(C27&gt;E27,IF(C41&gt;0,I27+(F29*C41),0),IF(C41&gt;0,I27-(F29*C41),0))</f>
        <v>1.649</v>
      </c>
      <c r="H41" s="160">
        <f>IF(C27&gt;E27,IF(D41&gt;0,I27+(F29*D41),0),IF(D41&gt;0,I27-(F29*D41),0))</f>
        <v>1.7496400000000001</v>
      </c>
      <c r="I41" s="160">
        <f>IF(C27&gt;E27,IF(E41&gt;0,I27+(F29*E41),0),IF(E41&gt;0,I27-(F29*E41),0))</f>
        <v>0</v>
      </c>
      <c r="J41" s="161">
        <f>IF(C27&gt;E27,IF(F41&gt;0,I27+(F29*F41),0),IF(F41&gt;0,I27-(F29*F41),0))</f>
        <v>0</v>
      </c>
      <c r="K41" s="162">
        <f>IF(C41&gt;0,IF(G41&lt;K27,K27-G41,G41-K27),0)</f>
        <v>2.0999999999999908E-2</v>
      </c>
      <c r="L41" s="163">
        <f>IF(D41&gt;0,IF(H41&lt;K27,K27-H41,H41-K27),0)</f>
        <v>7.9640000000000155E-2</v>
      </c>
      <c r="M41" s="163">
        <f>IF(E41&gt;0,IF(I41&lt;K27,K27-I41,I41-K27),0)</f>
        <v>0</v>
      </c>
      <c r="N41" s="164">
        <f>IF(F41&gt;0,IF(J41&lt;K27,K27-J41,J41-K27),0)</f>
        <v>0</v>
      </c>
      <c r="O41" s="159">
        <f t="shared" si="1"/>
        <v>1.649</v>
      </c>
      <c r="P41" s="160">
        <f t="shared" si="1"/>
        <v>1.7496400000000001</v>
      </c>
      <c r="Q41" s="160" t="str">
        <f t="shared" si="1"/>
        <v>No Data</v>
      </c>
      <c r="R41" s="161" t="str">
        <f t="shared" si="1"/>
        <v>No Data</v>
      </c>
      <c r="S41" s="165">
        <f t="shared" si="2"/>
        <v>1.7496400000000001</v>
      </c>
      <c r="T41" s="166">
        <f t="shared" si="3"/>
        <v>1.649</v>
      </c>
      <c r="W41" s="3"/>
      <c r="Y41" s="167"/>
      <c r="Z41" s="168"/>
    </row>
    <row r="42" spans="1:30" s="76" customFormat="1" ht="16.5" thickTop="1" thickBot="1" x14ac:dyDescent="0.3">
      <c r="A42" s="125" t="s">
        <v>47</v>
      </c>
      <c r="B42" s="169" t="s">
        <v>6</v>
      </c>
      <c r="C42" s="170">
        <f>IF($B$26=1,C78,0)+IF($B$26=2,C114,0)+IF($B$26=3,C150,0)+IF($B$26=4,C186,0)+IF($B$26=5,C222,0)+IF($B$26=6,C258,0)+IF($B$26=7,C294,0)+IF($B$26=8,C330,0)+IF($B$26=9,C366,0)+IF($B$26=10,C402,0)+IF($B$26=11,#REF!,0)+IF($B$26=12,#REF!,0)+IF($B$26=13,#REF!,0)+IF($B$26=14,#REF!,0)+IF($B$26=15,#REF!,0)+IF($B$26=16,#REF!,0)+IF($B$26=17,#REF!,0)</f>
        <v>2.6179999999999999</v>
      </c>
      <c r="D42" s="171">
        <f>IF($B$26=1,D78,0)+IF($B$26=2,D114,0)+IF($B$26=3,D150,0)+IF($B$26=4,D186,0)+IF($B$26=5,D222,0)+IF($B$26=6,D258,0)+IF($B$26=7,D294,0)+IF($B$26=8,D330,0)+IF($B$26=9,D366,0)+IF($B$26=10,D402,0)+IF($B$26=11,#REF!,0)+IF($B$26=12,#REF!,0)+IF($B$26=13,#REF!,0)+IF($B$26=14,#REF!,0)+IF($B$26=15,#REF!,0)+IF($B$26=16,#REF!,0)+IF($B$26=17,#REF!,0)</f>
        <v>2.786</v>
      </c>
      <c r="E42" s="171">
        <f>IF($B$26=1,E78,0)+IF($B$26=2,E114,0)+IF($B$26=3,E150,0)+IF($B$26=4,E186,0)+IF($B$26=5,E222,0)+IF($B$26=6,E258,0)+IF($B$26=7,E294,0)+IF($B$26=8,E330,0)+IF($B$26=9,E366,0)+IF($B$26=10,E402,0)+IF($B$26=11,#REF!,0)+IF($B$26=12,#REF!,0)+IF($B$26=13,#REF!,0)+IF($B$26=14,#REF!,0)+IF($B$26=15,#REF!,0)+IF($B$26=16,#REF!,0)+IF($B$26=17,#REF!,0)</f>
        <v>3</v>
      </c>
      <c r="F42" s="172">
        <f>IF($B$26=1,F78,0)+IF($B$26=2,F114,0)+IF($B$26=3,F150,0)+IF($B$26=4,F186,0)+IF($B$26=5,F222,0)+IF($B$26=6,F258,0)+IF($B$26=7,F294,0)+IF($B$26=8,F330,0)+IF($B$26=9,F366,0)+IF($B$26=10,F402,0)+IF($B$26=11,#REF!,0)+IF($B$26=12,#REF!,0)+IF($B$26=13,#REF!,0)+IF($B$26=14,#REF!,0)+IF($B$26=15,#REF!,0)+IF($B$26=16,#REF!,0)+IF($B$26=17,#REF!,0)</f>
        <v>3.786</v>
      </c>
      <c r="G42" s="173">
        <f>E25*C42</f>
        <v>23.561999999999998</v>
      </c>
      <c r="H42" s="174">
        <f>E25*D42</f>
        <v>25.074000000000002</v>
      </c>
      <c r="I42" s="175">
        <f>E25*E42</f>
        <v>27</v>
      </c>
      <c r="J42" s="176">
        <f>E25*F42</f>
        <v>34.073999999999998</v>
      </c>
      <c r="K42" s="177">
        <f>IF(C42=0,0,IF(K25&gt;G42,K25-G42,G42-K25))</f>
        <v>6.4380000000000024</v>
      </c>
      <c r="L42" s="178">
        <f>IF(D42=0,0,IF(K25&gt;H42,K25-H42,H42-K25))</f>
        <v>4.9259999999999984</v>
      </c>
      <c r="M42" s="178">
        <f>IF(E42=0,0,IF(K25&gt;I42,K25-I42,I42-K25))</f>
        <v>3</v>
      </c>
      <c r="N42" s="179">
        <f>IF(F42=0,0,IF(K25&gt;J42,K25-J42,J42-K25))</f>
        <v>4.0739999999999981</v>
      </c>
      <c r="O42" s="173">
        <f t="shared" si="1"/>
        <v>23.561999999999998</v>
      </c>
      <c r="P42" s="174">
        <f t="shared" si="1"/>
        <v>25.074000000000002</v>
      </c>
      <c r="Q42" s="175">
        <f t="shared" si="1"/>
        <v>27</v>
      </c>
      <c r="R42" s="176">
        <f t="shared" si="1"/>
        <v>34.073999999999998</v>
      </c>
      <c r="S42" s="180"/>
      <c r="T42" s="181"/>
      <c r="W42" s="3"/>
      <c r="Y42" s="167"/>
      <c r="Z42" s="168"/>
    </row>
    <row r="43" spans="1:30" s="76" customFormat="1" ht="15.75" thickBot="1" x14ac:dyDescent="0.3">
      <c r="A43" s="125" t="s">
        <v>47</v>
      </c>
      <c r="B43" s="139" t="s">
        <v>74</v>
      </c>
      <c r="C43" s="182">
        <f>IF($B$26=1,C79,0)+IF($B$26=2,C115,0)+IF($B$26=3,C151,0)+IF($B$26=4,C187,0)+IF($B$26=5,C223,0)+IF($B$26=6,C259,0)+IF($B$26=7,C295,0)+IF($B$26=8,C331,0)+IF($B$26=9,C367,0)+IF($B$26=10,C403,0)+IF($B$26=11,#REF!,0)+IF($B$26=12,#REF!,0)+IF($B$26=13,#REF!,0)+IF($B$26=14,#REF!,0)+IF($B$26=15,#REF!,0)+IF($B$26=16,#REF!,0)+IF($B$26=17,#REF!,0)</f>
        <v>1.6180000000000001</v>
      </c>
      <c r="D43" s="183">
        <f>IF($B$26=1,D79,0)+IF($B$26=2,D115,0)+IF($B$26=3,D151,0)+IF($B$26=4,D187,0)+IF($B$26=5,D223,0)+IF($B$26=6,D259,0)+IF($B$26=7,D295,0)+IF($B$26=8,D331,0)+IF($B$26=9,D367,0)+IF($B$26=10,D403,0)+IF($B$26=11,#REF!,0)+IF($B$26=12,#REF!,0)+IF($B$26=13,#REF!,0)+IF($B$26=14,#REF!,0)+IF($B$26=15,#REF!,0)+IF($B$26=16,#REF!,0)+IF($B$26=17,#REF!,0)</f>
        <v>1.786</v>
      </c>
      <c r="E43" s="183">
        <f>IF($B$26=1,E79,0)+IF($B$26=2,E115,0)+IF($B$26=3,E151,0)+IF($B$26=4,E187,0)+IF($B$26=5,E223,0)+IF($B$26=6,E259,0)+IF($B$26=7,E295,0)+IF($B$26=8,E331,0)+IF($B$26=9,E367,0)+IF($B$26=10,E403,0)+IF($B$26=11,#REF!,0)+IF($B$26=12,#REF!,0)+IF($B$26=13,#REF!,0)+IF($B$26=14,#REF!,0)+IF($B$26=15,#REF!,0)+IF($B$26=16,#REF!,0)+IF($B$26=17,#REF!,0)</f>
        <v>1.8859999999999999</v>
      </c>
      <c r="F43" s="184">
        <f>IF($B$26=1,F79,0)+IF($B$26=2,F115,0)+IF($B$26=3,F151,0)+IF($B$26=4,F187,0)+IF($B$26=5,F223,0)+IF($B$26=6,F259,0)+IF($B$26=7,F295,0)+IF($B$26=8,F331,0)+IF($B$26=9,F367,0)+IF($B$26=10,F403,0)+IF($B$26=11,#REF!,0)+IF($B$26=12,#REF!,0)+IF($B$26=13,#REF!,0)+IF($B$26=14,#REF!,0)+IF($B$26=15,#REF!,0)+IF($B$26=16,#REF!,0)+IF($B$26=17,#REF!,0)</f>
        <v>2</v>
      </c>
      <c r="G43" s="185">
        <f>G25*C43</f>
        <v>25.888000000000002</v>
      </c>
      <c r="H43" s="186">
        <f>G25*D43</f>
        <v>28.576000000000001</v>
      </c>
      <c r="I43" s="186">
        <f>G25*E43</f>
        <v>30.175999999999998</v>
      </c>
      <c r="J43" s="187">
        <f>G25*F43</f>
        <v>32</v>
      </c>
      <c r="K43" s="188">
        <f>IF(C43=0,0,IF(K25&gt;G43,K25-G43,G43-K25))</f>
        <v>4.1119999999999983</v>
      </c>
      <c r="L43" s="189">
        <f>IF(D43=0,0,IF(K25&gt;H43,K25-H43,H43-K25))</f>
        <v>1.4239999999999995</v>
      </c>
      <c r="M43" s="189">
        <f>IF(E43=0,0,IF(K25&gt;I43,K25-I43,I43-K25))</f>
        <v>0.17599999999999838</v>
      </c>
      <c r="N43" s="190">
        <f>IF(F43=0,0,IF(K25&gt;J43,K25-J43,J43-K25))</f>
        <v>2</v>
      </c>
      <c r="O43" s="191">
        <f t="shared" ref="O43" si="4">IF(C43=0,"No Data",G43)</f>
        <v>25.888000000000002</v>
      </c>
      <c r="P43" s="192">
        <f t="shared" ref="P43" si="5">IF(D43=0,"No Data",H43)</f>
        <v>28.576000000000001</v>
      </c>
      <c r="Q43" s="193">
        <f t="shared" ref="Q43" si="6">IF(E43=0,"No Data",I43)</f>
        <v>30.175999999999998</v>
      </c>
      <c r="R43" s="194">
        <f t="shared" ref="R43" si="7">IF(F43=0,"No Data",J43)</f>
        <v>32</v>
      </c>
      <c r="S43" s="195"/>
      <c r="T43" s="196"/>
      <c r="W43" s="3"/>
      <c r="Y43" s="167"/>
      <c r="Z43" s="168"/>
    </row>
    <row r="44" spans="1:30" s="76" customFormat="1" ht="15.75" thickBot="1" x14ac:dyDescent="0.3">
      <c r="A44" s="125" t="s">
        <v>46</v>
      </c>
      <c r="B44" s="197" t="s">
        <v>6</v>
      </c>
      <c r="C44" s="198">
        <f>IF($B$26=1,C80,0)+IF($B$26=2,C116,0)+IF($B$26=3,C152,0)+IF($B$26=4,C188,0)+IF($B$26=5,C224,0)+IF($B$26=6,C260,0)+IF($B$26=7,C296,0)+IF($B$26=8,C332,0)+IF($B$26=9,C368,0)+IF($B$26=10,C404,0)+IF($B$26=11,#REF!,0)+IF($B$26=12,#REF!,0)+IF($B$26=13,#REF!,0)+IF($B$26=14,#REF!,0)+IF($B$26=15,#REF!,0)+IF($B$26=16,#REF!,0)+IF($B$26=17,#REF!,0)</f>
        <v>1.6180000000000001</v>
      </c>
      <c r="D44" s="199">
        <f>IF($B$26=1,D80,0)+IF($B$26=2,D116,0)+IF($B$26=3,D152,0)+IF($B$26=4,D188,0)+IF($B$26=5,D224,0)+IF($B$26=6,D260,0)+IF($B$26=7,D296,0)+IF($B$26=8,D332,0)+IF($B$26=9,D368,0)+IF($B$26=10,D404,0)+IF($B$26=11,#REF!,0)+IF($B$26=12,#REF!,0)+IF($B$26=13,#REF!,0)+IF($B$26=14,#REF!,0)+IF($B$26=15,#REF!,0)+IF($B$26=16,#REF!,0)+IF($B$26=17,#REF!,0)</f>
        <v>1.786</v>
      </c>
      <c r="E44" s="199">
        <f>IF($B$26=1,E80,0)+IF($B$26=2,E116,0)+IF($B$26=3,E152,0)+IF($B$26=4,E188,0)+IF($B$26=5,E224,0)+IF($B$26=6,E260,0)+IF($B$26=7,E296,0)+IF($B$26=8,E332,0)+IF($B$26=9,E368,0)+IF($B$26=10,E404,0)+IF($B$26=11,#REF!,0)+IF($B$26=12,#REF!,0)+IF($B$26=13,#REF!,0)+IF($B$26=14,#REF!,0)+IF($B$26=15,#REF!,0)+IF($B$26=16,#REF!,0)+IF($B$26=17,#REF!,0)</f>
        <v>1</v>
      </c>
      <c r="F44" s="200">
        <f>IF($B$26=1,F80,0)+IF($B$26=2,F116,0)+IF($B$26=3,F152,0)+IF($B$26=4,F188,0)+IF($B$26=5,F224,0)+IF($B$26=6,F260,0)+IF($B$26=7,F296,0)+IF($B$26=8,F332,0)+IF($B$26=9,F368,0)+IF($B$26=10,F404,0)+IF($B$26=11,#REF!,0)+IF($B$26=12,#REF!,0)+IF($B$26=13,#REF!,0)+IF($B$26=14,#REF!,0)+IF($B$26=15,#REF!,0)+IF($B$26=16,#REF!,0)+IF($B$26=17,#REF!,0)</f>
        <v>0</v>
      </c>
      <c r="G44" s="201">
        <f>E25*C44</f>
        <v>14.562000000000001</v>
      </c>
      <c r="H44" s="202">
        <f>E25*D44</f>
        <v>16.074000000000002</v>
      </c>
      <c r="I44" s="202">
        <f>E25*E44</f>
        <v>9</v>
      </c>
      <c r="J44" s="203">
        <f>E25*F44</f>
        <v>0</v>
      </c>
      <c r="K44" s="204">
        <f>IF(C44=0,0,IF(G25&gt;G44,G25-G44,G44-G25))</f>
        <v>1.4379999999999988</v>
      </c>
      <c r="L44" s="205">
        <f>IF(D44=0,0,IF(G25&gt;H44,G25-H44,H44-G25))</f>
        <v>7.400000000000162E-2</v>
      </c>
      <c r="M44" s="205">
        <f>IF(E44=0,0,IF(G25&gt;I44,G25-I44,I44-G25))</f>
        <v>7</v>
      </c>
      <c r="N44" s="206">
        <f>IF(F44=0,0,IF(G25&gt;J44,G25-J44,J44-G25))</f>
        <v>0</v>
      </c>
      <c r="O44" s="201">
        <f t="shared" si="1"/>
        <v>14.562000000000001</v>
      </c>
      <c r="P44" s="202">
        <f t="shared" si="1"/>
        <v>16.074000000000002</v>
      </c>
      <c r="Q44" s="202">
        <f t="shared" si="1"/>
        <v>9</v>
      </c>
      <c r="R44" s="203" t="str">
        <f t="shared" si="1"/>
        <v>No Data</v>
      </c>
      <c r="S44" s="207"/>
      <c r="T44" s="208"/>
      <c r="W44" s="3"/>
      <c r="Y44" s="167"/>
      <c r="Z44" s="168"/>
    </row>
    <row r="45" spans="1:30" s="76" customFormat="1" ht="15.75" thickBot="1" x14ac:dyDescent="0.3">
      <c r="A45" s="125" t="s">
        <v>66</v>
      </c>
      <c r="B45" s="209" t="s">
        <v>6</v>
      </c>
      <c r="C45" s="210">
        <f>IF($B$26=1,C81,0)+IF($B$26=2,C117,0)+IF($B$26=3,C153,0)+IF($B$26=4,C189,0)+IF($B$26=5,C225,0)+IF($B$26=6,C261,0)+IF($B$26=7,C297,0)+IF($B$26=8,C333,0)+IF($B$26=9,C369,0)+IF($B$26=10,C405,0)+IF($B$26=11,#REF!,0)+IF($B$26=12,#REF!,0)+IF($B$26=13,#REF!,0)+IF($B$26=14,#REF!,0)+IF($B$26=15,#REF!,0)+IF($B$26=16,#REF!,0)+IF($B$26=17,#REF!,0)</f>
        <v>0</v>
      </c>
      <c r="D45" s="211">
        <f>IF($B$26=1,D81,0)+IF($B$26=2,D117,0)+IF($B$26=3,D153,0)+IF($B$26=4,D189,0)+IF($B$26=5,D225,0)+IF($B$26=6,D261,0)+IF($B$26=7,D297,0)+IF($B$26=8,D333,0)+IF($B$26=9,D369,0)+IF($B$26=10,D405,0)+IF($B$26=11,#REF!,0)+IF($B$26=12,#REF!,0)+IF($B$26=13,#REF!,0)+IF($B$26=14,#REF!,0)+IF($B$26=15,#REF!,0)+IF($B$26=16,#REF!,0)+IF($B$26=17,#REF!,0)</f>
        <v>0</v>
      </c>
      <c r="E45" s="211">
        <f>IF($B$26=1,E81,0)+IF($B$26=2,E117,0)+IF($B$26=3,E153,0)+IF($B$26=4,E189,0)+IF($B$26=5,E225,0)+IF($B$26=6,E261,0)+IF($B$26=7,E297,0)+IF($B$26=8,E333,0)+IF($B$26=9,E369,0)+IF($B$26=10,E405,0)+IF($B$26=11,#REF!,0)+IF($B$26=12,#REF!,0)+IF($B$26=13,#REF!,0)+IF($B$26=14,#REF!,0)+IF($B$26=15,#REF!,0)+IF($B$26=16,#REF!,0)+IF($B$26=17,#REF!,0)</f>
        <v>0</v>
      </c>
      <c r="F45" s="212">
        <f>IF($B$26=1,F81,0)+IF($B$26=2,F117,0)+IF($B$26=3,F153,0)+IF($B$26=4,F189,0)+IF($B$26=5,F225,0)+IF($B$26=6,F261,0)+IF($B$26=7,F297,0)+IF($B$26=8,F333,0)+IF($B$26=9,F369,0)+IF($B$26=10,F405,0)+IF($B$26=11,#REF!,0)+IF($B$26=12,#REF!,0)+IF($B$26=13,#REF!,0)+IF($B$26=14,#REF!,0)+IF($B$26=15,#REF!,0)+IF($B$26=16,#REF!,0)+IF($B$26=17,#REF!,0)</f>
        <v>0</v>
      </c>
      <c r="G45" s="213">
        <f>E25*C45</f>
        <v>0</v>
      </c>
      <c r="H45" s="214">
        <f>E25*D45</f>
        <v>0</v>
      </c>
      <c r="I45" s="214">
        <f>E25*E45</f>
        <v>0</v>
      </c>
      <c r="J45" s="215">
        <f>E25*F45</f>
        <v>0</v>
      </c>
      <c r="K45" s="216">
        <f>IF(C45=0,0,IF(I25&gt;G45,I25-G45,G45-I25))</f>
        <v>0</v>
      </c>
      <c r="L45" s="217">
        <f>IF(D45=0,0,IF(I25&gt;H45,I25-H45,H45-I25))</f>
        <v>0</v>
      </c>
      <c r="M45" s="217">
        <f>IF(E45=0,0,IF(I25&gt;I45,I25-I45,I45-I25))</f>
        <v>0</v>
      </c>
      <c r="N45" s="218">
        <f>IF(F45=0,0,IF(I25&gt;J45,I25-J45,J45-I25))</f>
        <v>0</v>
      </c>
      <c r="O45" s="213" t="str">
        <f t="shared" si="1"/>
        <v>No Data</v>
      </c>
      <c r="P45" s="214" t="str">
        <f t="shared" si="1"/>
        <v>No Data</v>
      </c>
      <c r="Q45" s="214" t="str">
        <f t="shared" si="1"/>
        <v>No Data</v>
      </c>
      <c r="R45" s="215" t="str">
        <f t="shared" si="1"/>
        <v>No Data</v>
      </c>
      <c r="S45" s="219"/>
      <c r="T45" s="220"/>
      <c r="W45" s="3"/>
      <c r="Y45" s="167"/>
      <c r="Z45" s="168"/>
    </row>
    <row r="46" spans="1:30" s="76" customFormat="1" ht="15.75" thickBot="1" x14ac:dyDescent="0.3">
      <c r="K46" s="221"/>
      <c r="L46" s="221"/>
      <c r="M46" s="221"/>
      <c r="N46" s="221"/>
      <c r="O46" s="222"/>
      <c r="P46" s="221"/>
      <c r="W46" s="3"/>
      <c r="Y46" s="167"/>
      <c r="Z46" s="168"/>
    </row>
    <row r="47" spans="1:30" s="76" customFormat="1" ht="15.75" thickBot="1" x14ac:dyDescent="0.3">
      <c r="C47" s="454" t="s">
        <v>53</v>
      </c>
      <c r="D47" s="455"/>
      <c r="E47" s="455"/>
      <c r="F47" s="456"/>
      <c r="G47" s="454" t="s">
        <v>68</v>
      </c>
      <c r="H47" s="455"/>
      <c r="I47" s="456"/>
      <c r="K47" s="223"/>
      <c r="L47" s="224"/>
      <c r="M47" s="224"/>
      <c r="N47" s="224"/>
      <c r="O47" s="224"/>
      <c r="P47" s="225"/>
      <c r="Q47" s="226"/>
      <c r="R47" s="226"/>
      <c r="S47" s="227"/>
      <c r="T47" s="226"/>
      <c r="W47" s="3"/>
      <c r="Y47" s="167"/>
      <c r="Z47" s="168"/>
    </row>
    <row r="48" spans="1:30" ht="15.75" thickBot="1" x14ac:dyDescent="0.3">
      <c r="A48" s="115" t="s">
        <v>10</v>
      </c>
      <c r="B48" s="116" t="s">
        <v>51</v>
      </c>
      <c r="C48" s="228">
        <v>1</v>
      </c>
      <c r="D48" s="228">
        <v>2</v>
      </c>
      <c r="E48" s="228">
        <v>3</v>
      </c>
      <c r="F48" s="228">
        <v>4</v>
      </c>
      <c r="G48" s="229" t="s">
        <v>69</v>
      </c>
      <c r="H48" s="230" t="s">
        <v>35</v>
      </c>
      <c r="I48" s="230" t="s">
        <v>55</v>
      </c>
      <c r="K48" s="452" t="s">
        <v>134</v>
      </c>
      <c r="L48" s="453"/>
      <c r="M48" s="452" t="s">
        <v>135</v>
      </c>
      <c r="N48" s="453"/>
      <c r="O48" s="452" t="s">
        <v>136</v>
      </c>
      <c r="P48" s="453"/>
      <c r="W48" s="3"/>
    </row>
    <row r="49" spans="1:35" ht="15" customHeight="1" thickBot="1" x14ac:dyDescent="0.3">
      <c r="A49" s="125" t="s">
        <v>11</v>
      </c>
      <c r="B49" s="126" t="s">
        <v>6</v>
      </c>
      <c r="C49" s="231">
        <f>IF(C37=0,"No Data",K37/(F30/100))</f>
        <v>0.2157497303128133</v>
      </c>
      <c r="D49" s="232" t="str">
        <f>IF(D37=0,"No Data",L37/(F31/100))</f>
        <v>No Data</v>
      </c>
      <c r="E49" s="233" t="str">
        <f>IF(E37=0,"No Data",M37/(F32/100))</f>
        <v>No Data</v>
      </c>
      <c r="F49" s="232" t="str">
        <f>IF(F37=0,"No Data",N37/(F33/100))</f>
        <v>No Data</v>
      </c>
      <c r="G49" s="234" t="str">
        <f>IF(COUNT(O37:R37)=1,"1Fib",IF(COUNT(O37:R37)&lt;2,"No Data",IF(AND(S37&gt;G27,G27&gt;T37),"Yes","No")))</f>
        <v>1Fib</v>
      </c>
      <c r="H49" s="235">
        <f t="shared" ref="H49:H57" si="8">IF(COUNTIF(C37:F37,0)=4,"No Data",MIN(C49:F49))</f>
        <v>0.2157497303128133</v>
      </c>
      <c r="I49" s="236"/>
      <c r="J49" s="237"/>
      <c r="K49" s="238" t="str">
        <f>CONCATENATE(IF(L49=1,IF(OR(AND(G49="1Fib",H49&lt;$Z$51),AND(G49="Yes",H49&lt;$Z$51),AND(G49="No",H49&lt;$Z$51)),"Valid","Invalid"),""),IF(L49=2,IF(OR(AND(G49="1Fib",H49&lt;$Z$51),AND(G49="Yes",H49&lt;$Z$51),AND(G49="Yes",H49&gt;$Z$51)),"Valid","Invalid"),""),IF(L49=3,IF(OR(AND(G49="1Fib",H49&lt;$Z$51),AND(G49="Yes",H49&lt;$Z$51),AND(G49="Yes",H49&gt;$Z$51),AND(G49="No",H49&lt;$Z$51)),"Valid","Invalid"),""))</f>
        <v>Valid</v>
      </c>
      <c r="L49" s="239">
        <f>IF($B$26=1,L85,0)+IF($B$26=2,L121,0)+IF($B$26=3,L157,0)+IF($B$26=4,L193,0)+IF($B$26=5,L229,0)+IF($B$26=6,L265,0)+IF($B$26=7,L301,0)+IF($B$26=8,L337,0)+IF($B$26=9,L373,0)+IF($B$26=10,L409,0)+IF($B$26=11,#REF!,0)+IF($B$26=12,#REF!,0)+IF($B$26=13,#REF!,0)+IF($B$26=14,#REF!,0)+IF($B$26=15,#REF!,0)+IF($B$26=16,#REF!,0)+IF($B$26=17,#REF!,0)+IF($B$26=18,#REF!,0)+IF($B$26=19,#REF!,0)+IF($B$26=20,#REF!,0)+IF($B$26=21,#REF!,0)</f>
        <v>1</v>
      </c>
      <c r="M49" s="238" t="str">
        <f>CONCATENATE(IF(N49=1,IF(OR(AND(G49="1Fib",H49&lt;$Z$51),AND(G49="Yes",H49&lt;$Z$51),AND(G49="No",H49&lt;$Z$51)),"Valid","Invalid"),""),IF(N49=2,IF(OR(AND(G49="1Fib",H49&lt;$Z$51),AND(G49="Yes",H49&lt;$Z$51),AND(G49="Yes",H49&gt;$Z$51)),"Valid","Invalid"),""),IF(N49=3,IF(OR(AND(G49="1Fib",H49&lt;$Z$51),AND(G49="Yes",H49&lt;$Z$51),AND(G49="Yes",H49&gt;$Z$51),AND(G49="No",H49&lt;$Z$51)),"Valid","Invalid"),""))</f>
        <v>Valid</v>
      </c>
      <c r="N49" s="240">
        <f>IF($B$26=1,N85,0)+IF($B$26=2,N121,0)+IF($B$26=3,N157,0)+IF($B$26=4,N193,0)+IF($B$26=5,N229,0)+IF($B$26=6,N265,0)+IF($B$26=7,N301,0)+IF($B$26=8,N337,0)+IF($B$26=9,N373,0)+IF($B$26=10,N409,0)+IF($B$26=11,#REF!,0)+IF($B$26=12,#REF!,0)+IF($B$26=13,#REF!,0)+IF($B$26=14,#REF!,0)+IF($B$26=15,#REF!,0)+IF($B$26=16,#REF!,0)+IF($B$26=17,#REF!,0)+IF($B$26=18,#REF!,0)+IF($B$26=19,#REF!,0)+IF($B$26=20,#REF!,0)+IF($B$26=21,#REF!,0)</f>
        <v>1</v>
      </c>
      <c r="O49" s="238" t="str">
        <f>CONCATENATE(IF(P49=1,IF(OR(AND(G49="1Fib",H49&lt;$Z$51),AND(G49="Yes",H49&lt;$Z$51),AND(G49="No",H49&lt;$Z$51)),"Valid","Invalid"),""),IF(P49=2,IF(OR(AND(G49="1Fib",H49&lt;$Z$51),AND(G49="Yes",H49&lt;$Z$51),AND(G49="Yes",H49&gt;$Z$51)),"Valid","Invalid"),""),IF(P49=3,IF(OR(AND(G49="1Fib",H49&lt;$Z$51),AND(G49="Yes",H49&lt;$Z$51),AND(G49="Yes",H49&gt;$Z$51),AND(G49="No",H49&lt;$Z$51)),"Valid","Invalid"),""))</f>
        <v>Valid</v>
      </c>
      <c r="P49" s="241">
        <f>IF($B$26=1,P85,0)+IF($B$26=2,P121,0)+IF($B$26=3,P157,0)+IF($B$26=4,P193,0)+IF($B$26=5,P229,0)+IF($B$26=6,P265,0)+IF($B$26=7,P301,0)+IF($B$26=8,P337,0)+IF($B$26=9,P373,0)+IF($B$26=10,P409,0)+IF($B$26=11,#REF!,0)+IF($B$26=12,#REF!,0)+IF($B$26=13,#REF!,0)+IF($B$26=14,#REF!,0)+IF($B$26=15,#REF!,0)+IF($B$26=16,#REF!,0)+IF($B$26=17,#REF!,0)+IF($B$26=18,#REF!,0)+IF($B$26=19,#REF!,0)+IF($B$26=20,#REF!,0)+IF($B$26=21,#REF!,0)</f>
        <v>3</v>
      </c>
      <c r="Q49" s="242" t="s">
        <v>106</v>
      </c>
      <c r="R49" s="243">
        <f>IF($B$26=1,R85,0)+IF($B$26=2,R121,0)+IF($B$26=3,R157,0)+IF($B$26=4,R193,0)+IF($B$26=5,R229,0)+IF($B$26=6,R265,0)+IF($B$26=7,R301,0)+IF($B$26=8,R337,0)+IF($B$26=9,R373,0)+IF($B$26=10,R409,0)+IF($B$26=11,#REF!,0)+IF($B$26=12,#REF!,0)+IF($B$26=13,#REF!,0)+IF($B$26=14,#REF!,0)+IF($B$26=15,#REF!,0)+IF($B$26=16,#REF!,0)+IF($B$26=17,#REF!,0)+IF($B$26=18,#REF!,0)</f>
        <v>0.33927056827821156</v>
      </c>
      <c r="S49" s="372" t="str">
        <f>CONCATENATE(IF($B$26=1,S85,""),IF($B$26=2,S121,""),IF($B$26=3,S157,""),IF($B$26=4,S193,""),IF($B$26=5,S229,""),IF($B$26=6,S265,""),IF($B$26=7,S301,""),IF($B$26=8,S337,""),IF($B$26=9,S373,""),IF($B$26=10,S409,""),IF($B$26=11,#REF!,""),IF($B$26=12,#REF!,""),IF($B$26=13,#REF!,""),IF($B$26=14,#REF!,""),IF($B$26=15,#REF!,""),IF($B$26=16,#REF!,""),IF($B$26=17,#REF!,""),IF($B$26=18,#REF!,""))</f>
        <v>Structure approved</v>
      </c>
      <c r="T49" s="373"/>
      <c r="U49" s="374"/>
      <c r="W49" s="3"/>
      <c r="Y49" s="226"/>
      <c r="Z49" s="418" t="s">
        <v>91</v>
      </c>
      <c r="AA49" s="419"/>
      <c r="AB49" s="420"/>
      <c r="AC49" s="226"/>
    </row>
    <row r="50" spans="1:35" ht="15.75" customHeight="1" thickBot="1" x14ac:dyDescent="0.3">
      <c r="A50" s="125" t="s">
        <v>12</v>
      </c>
      <c r="B50" s="139" t="s">
        <v>7</v>
      </c>
      <c r="C50" s="244">
        <f>IF(C38=0,"No Data",K38/(H30/100))</f>
        <v>105.88651478703841</v>
      </c>
      <c r="D50" s="245">
        <f>IF(D38=0,"No Data",L38/(H31/100))</f>
        <v>27.263185515612719</v>
      </c>
      <c r="E50" s="246">
        <f>IF(E38=0,"No Data",M38/(H32/100))</f>
        <v>6.1893955023749718E-2</v>
      </c>
      <c r="F50" s="245">
        <f>IF(F38=0,"No Data",N38/(H33/100))</f>
        <v>11.231773534256623</v>
      </c>
      <c r="G50" s="247" t="str">
        <f>IF(COUNT(O38:R38)=1,"1Fib",IF(COUNT(O38:R38)&lt;2,"No Data",IF(AND(S38&gt;I27,I27&gt;T38),"Yes","No")))</f>
        <v>Yes</v>
      </c>
      <c r="H50" s="235">
        <f t="shared" si="8"/>
        <v>6.1893955023749718E-2</v>
      </c>
      <c r="I50" s="248"/>
      <c r="K50" s="249" t="str">
        <f>CONCATENATE(IF(L50=1,IF(OR(AND(G50="1Fib",H50&lt;$Z$51),AND(G50="Yes",H50&lt;$Z$51),AND(G50="No",H50&lt;$Z$51)),"Valid","Invalid"),""),IF(L50=2,IF(OR(AND(G50="1Fib",H50&lt;$Z$51),AND(G50="Yes",H50&lt;$Z$51),AND(G50="Yes",H50&gt;$Z$51)),"Valid","Invalid"),""),IF(L50=3,IF(OR(AND(G50="1Fib",H50&lt;$Z$51),AND(G50="Yes",H50&lt;$Z$51),AND(G50="Yes",H50&gt;$Z$51),AND(G50="No",H50&lt;$Z$51)),"Valid","Invalid"),""))</f>
        <v>Valid</v>
      </c>
      <c r="L50" s="239">
        <f>IF($B$26=1,L86,0)+IF($B$26=2,L122,0)+IF($B$26=3,L158,0)+IF($B$26=4,L194,0)+IF($B$26=5,L230,0)+IF($B$26=6,L266,0)+IF($B$26=7,L302,0)+IF($B$26=8,L338,0)+IF($B$26=9,L374,0)+IF($B$26=10,L410,0)+IF($B$26=11,#REF!,0)+IF($B$26=12,#REF!,0)+IF($B$26=13,#REF!,0)+IF($B$26=14,#REF!,0)+IF($B$26=15,#REF!,0)+IF($B$26=16,#REF!,0)+IF($B$26=17,#REF!,0)+IF($B$26=18,#REF!,0)+IF($B$26=19,#REF!,0)+IF($B$26=20,#REF!,0)+IF($B$26=21,#REF!,0)</f>
        <v>2</v>
      </c>
      <c r="M50" s="249" t="str">
        <f>CONCATENATE(IF(N50=1,IF(OR(AND(G50="1Fib",H50&lt;$Z$51),AND(G50="Yes",H50&lt;$Z$51),AND(G50="No",H50&lt;$Z$51)),"Valid","Invalid"),""),IF(N50=2,IF(OR(AND(G50="1Fib",H50&lt;$Z$51),AND(G50="Yes",H50&lt;$Z$51),AND(G50="Yes",H50&gt;$Z$51)),"Valid","Invalid"),""),IF(N50=3,IF(OR(AND(G50="1Fib",H50&lt;$Z$51),AND(G50="Yes",H50&lt;$Z$51),AND(G50="Yes",H50&gt;$Z$51),AND(G50="No",H50&lt;$Z$51)),"Valid","Invalid"),""))</f>
        <v>Valid</v>
      </c>
      <c r="N50" s="239">
        <f>IF($B$26=1,N86,0)+IF($B$26=2,N122,0)+IF($B$26=3,N158,0)+IF($B$26=4,N194,0)+IF($B$26=5,N230,0)+IF($B$26=6,N266,0)+IF($B$26=7,N302,0)+IF($B$26=8,N338,0)+IF($B$26=9,N374,0)+IF($B$26=10,N410,0)+IF($B$26=11,#REF!,0)+IF($B$26=12,#REF!,0)+IF($B$26=13,#REF!,0)+IF($B$26=14,#REF!,0)+IF($B$26=15,#REF!,0)+IF($B$26=16,#REF!,0)+IF($B$26=17,#REF!,0)+IF($B$26=18,#REF!,0)+IF($B$26=19,#REF!,0)+IF($B$26=20,#REF!,0)+IF($B$26=21,#REF!,0)</f>
        <v>1</v>
      </c>
      <c r="O50" s="249" t="str">
        <f>CONCATENATE(IF(P50=1,IF(OR(AND(G50="1Fib",H50&lt;$Z$51),AND(G50="Yes",H50&lt;$Z$51),AND(G50="No",H50&lt;$Z$51)),"Valid","Invalid"),""),IF(P50=2,IF(OR(AND(G50="1Fib",H50&lt;$Z$51),AND(G50="Yes",H50&lt;$Z$51),AND(G50="Yes",H50&gt;$Z$51)),"Valid","Invalid"),""),IF(P50=3,IF(OR(AND(G50="1Fib",H50&lt;$Z$51),AND(G50="Yes",H50&lt;$Z$51),AND(G50="Yes",H50&gt;$Z$51),AND(G50="No",H50&lt;$Z$51)),"Valid","Invalid"),""))</f>
        <v>Valid</v>
      </c>
      <c r="P50" s="239">
        <f>IF($B$26=1,P86,0)+IF($B$26=2,P122,0)+IF($B$26=3,P158,0)+IF($B$26=4,P194,0)+IF($B$26=5,P230,0)+IF($B$26=6,P266,0)+IF($B$26=7,P302,0)+IF($B$26=8,P338,0)+IF($B$26=9,P374,0)+IF($B$26=10,P410,0)+IF($B$26=11,#REF!,0)+IF($B$26=12,#REF!,0)+IF($B$26=13,#REF!,0)+IF($B$26=14,#REF!,0)+IF($B$26=15,#REF!,0)+IF($B$26=16,#REF!,0)+IF($B$26=17,#REF!,0)+IF($B$26=18,#REF!,0)+IF($B$26=19,#REF!,0)+IF($B$26=20,#REF!,0)+IF($B$26=21,#REF!,0)</f>
        <v>3</v>
      </c>
      <c r="Q50" s="250" t="s">
        <v>107</v>
      </c>
      <c r="R50" s="243">
        <f>IF($B$26=1,R86,0)+IF($B$26=2,R122,0)+IF($B$26=3,R158,0)+IF($B$26=4,R194,0)+IF($B$26=5,R230,0)+IF($B$26=6,R266,0)+IF($B$26=7,R302,0)+IF($B$26=8,R338,0)+IF($B$26=9,R374,0)+IF($B$26=10,R410,0)+IF($B$26=11,#REF!,0)+IF($B$26=12,#REF!,0)+IF($B$26=13,#REF!,0)+IF($B$26=14,#REF!,0)+IF($B$26=15,#REF!,0)+IF($B$26=16,#REF!,0)+IF($B$26=17,#REF!,0)+IF($B$26=18,#REF!,0)</f>
        <v>0.58324496288440608</v>
      </c>
      <c r="S50" s="375"/>
      <c r="T50" s="376"/>
      <c r="U50" s="377"/>
      <c r="W50" s="3"/>
      <c r="Y50" s="2"/>
      <c r="Z50" s="95" t="s">
        <v>43</v>
      </c>
      <c r="AB50" s="95" t="s">
        <v>44</v>
      </c>
    </row>
    <row r="51" spans="1:35" ht="16.5" customHeight="1" thickBot="1" x14ac:dyDescent="0.3">
      <c r="A51" s="125" t="s">
        <v>13</v>
      </c>
      <c r="B51" s="139" t="s">
        <v>8</v>
      </c>
      <c r="C51" s="251">
        <f>IF(C39=0,"No Data",K39/(J30/100))</f>
        <v>5.6322807927553393</v>
      </c>
      <c r="D51" s="252">
        <f>IF(D39=0,"No Data",L39/(J31/100))</f>
        <v>16.95657529766082</v>
      </c>
      <c r="E51" s="253">
        <f>IF(E39=0,"No Data",M39/(J32/100))</f>
        <v>18.906425812729925</v>
      </c>
      <c r="F51" s="252" t="str">
        <f>IF(F39=0,"No Data",N39/(J33/100))</f>
        <v>No Data</v>
      </c>
      <c r="G51" s="247" t="str">
        <f>IF(COUNT(O39:R39)=1,"1Fib",IF(COUNT(O39:R39)&lt;2,"No Data",IF(AND(S39&gt;K27,K27&gt;T39),"Yes","No")))</f>
        <v>Yes</v>
      </c>
      <c r="H51" s="235">
        <f t="shared" si="8"/>
        <v>5.6322807927553393</v>
      </c>
      <c r="I51" s="254">
        <f>MIN(C51:F53)</f>
        <v>0.33927056827821156</v>
      </c>
      <c r="J51" s="2" t="s">
        <v>32</v>
      </c>
      <c r="K51" s="249" t="str">
        <f t="shared" ref="K51:K53" si="9">CONCATENATE(IF(L51=1,IF(OR(AND(G51="1Fib",H51&lt;$Z$51),AND(G51="Yes",H51&lt;$Z$51),AND(G51="No",H51&lt;$Z$51)),"Valid","Invalid"),""),IF(L51=2,IF(OR(AND(G51="1Fib",H51&lt;$Z$51),AND(G51="Yes",H51&lt;$Z$51),AND(G51="Yes",H51&gt;$Z$51)),"Valid","Invalid"),""),IF(L51=3,IF(OR(AND(G51="1Fib",H51&lt;$Z$51),AND(G51="Yes",H51&lt;$Z$51),AND(G51="Yes",H51&gt;$Z$51),AND(G51="No",H51&lt;$Z$51)),"Valid","Invalid"),""))</f>
        <v>Valid</v>
      </c>
      <c r="L51" s="239">
        <f>IF($B$26=1,L87,0)+IF($B$26=2,L123,0)+IF($B$26=3,L159,0)+IF($B$26=4,L195,0)+IF($B$26=5,L231,0)+IF($B$26=6,L267,0)+IF($B$26=7,L303,0)+IF($B$26=8,L339,0)+IF($B$26=9,L375,0)+IF($B$26=10,L411,0)+IF($B$26=11,#REF!,0)+IF($B$26=12,#REF!,0)+IF($B$26=13,#REF!,0)+IF($B$26=14,#REF!,0)+IF($B$26=15,#REF!,0)+IF($B$26=16,#REF!,0)+IF($B$26=17,#REF!,0)+IF($B$26=18,#REF!,0)+IF($B$26=19,#REF!,0)+IF($B$26=20,#REF!,0)+IF($B$26=21,#REF!,0)</f>
        <v>2</v>
      </c>
      <c r="M51" s="249" t="str">
        <f t="shared" ref="M51:M53" si="10">CONCATENATE(IF(N51=1,IF(OR(AND(G51="1Fib",H51&lt;$Z$51),AND(G51="Yes",H51&lt;$Z$51),AND(G51="No",H51&lt;$Z$51)),"Valid","Invalid"),""),IF(N51=2,IF(OR(AND(G51="1Fib",H51&lt;$Z$51),AND(G51="Yes",H51&lt;$Z$51),AND(G51="Yes",H51&gt;$Z$51)),"Valid","Invalid"),""),IF(N51=3,IF(OR(AND(G51="1Fib",H51&lt;$Z$51),AND(G51="Yes",H51&lt;$Z$51),AND(G51="Yes",H51&gt;$Z$51),AND(G51="No",H51&lt;$Z$51)),"Valid","Invalid"),""))</f>
        <v>Valid</v>
      </c>
      <c r="N51" s="239">
        <f>IF($B$26=1,N87,0)+IF($B$26=2,N123,0)+IF($B$26=3,N159,0)+IF($B$26=4,N195,0)+IF($B$26=5,N231,0)+IF($B$26=6,N267,0)+IF($B$26=7,N303,0)+IF($B$26=8,N339,0)+IF($B$26=9,N375,0)+IF($B$26=10,N411,0)+IF($B$26=11,#REF!,0)+IF($B$26=12,#REF!,0)+IF($B$26=13,#REF!,0)+IF($B$26=14,#REF!,0)+IF($B$26=15,#REF!,0)+IF($B$26=16,#REF!,0)+IF($B$26=17,#REF!,0)+IF($B$26=18,#REF!,0)+IF($B$26=19,#REF!,0)+IF($B$26=20,#REF!,0)+IF($B$26=21,#REF!,0)</f>
        <v>1</v>
      </c>
      <c r="O51" s="249" t="str">
        <f t="shared" ref="O51:O53" si="11">CONCATENATE(IF(P51=1,IF(OR(AND(G51="1Fib",H51&lt;$Z$51),AND(G51="Yes",H51&lt;$Z$51),AND(G51="No",H51&lt;$Z$51)),"Valid","Invalid"),""),IF(P51=2,IF(OR(AND(G51="1Fib",H51&lt;$Z$51),AND(G51="Yes",H51&lt;$Z$51),AND(G51="Yes",H51&gt;$Z$51)),"Valid","Invalid"),""),IF(P51=3,IF(OR(AND(G51="1Fib",H51&lt;$Z$51),AND(G51="Yes",H51&lt;$Z$51),AND(G51="Yes",H51&gt;$Z$51),AND(G51="No",H51&lt;$Z$51)),"Valid","Invalid"),""))</f>
        <v>Valid</v>
      </c>
      <c r="P51" s="239">
        <f>IF($B$26=1,P87,0)+IF($B$26=2,P123,0)+IF($B$26=3,P159,0)+IF($B$26=4,P195,0)+IF($B$26=5,P231,0)+IF($B$26=6,P267,0)+IF($B$26=7,P303,0)+IF($B$26=8,P339,0)+IF($B$26=9,P375,0)+IF($B$26=10,P411,0)+IF($B$26=11,#REF!,0)+IF($B$26=12,#REF!,0)+IF($B$26=13,#REF!,0)+IF($B$26=14,#REF!,0)+IF($B$26=15,#REF!,0)+IF($B$26=16,#REF!,0)+IF($B$26=17,#REF!,0)+IF($B$26=18,#REF!,0)+IF($B$26=19,#REF!,0)+IF($B$26=20,#REF!,0)+IF($B$26=21,#REF!,0)</f>
        <v>3</v>
      </c>
      <c r="Q51" s="242" t="s">
        <v>108</v>
      </c>
      <c r="R51" s="243">
        <f>IF($B$26=1,R87,0)+IF($B$26=2,R123,0)+IF($B$26=3,R159,0)+IF($B$26=4,R195,0)+IF($B$26=5,R231,0)+IF($B$26=6,R267,0)+IF($B$26=7,R303,0)+IF($B$26=8,R339,0)+IF($B$26=9,R375,0)+IF($B$26=10,R411,0)+IF($B$26=11,#REF!,0)+IF($B$26=12,#REF!,0)+IF($B$26=13,#REF!,0)+IF($B$26=14,#REF!,0)+IF($B$26=15,#REF!,0)+IF($B$26=16,#REF!,0)+IF($B$26=17,#REF!,0)+IF($B$26=18,#REF!,0)</f>
        <v>0.58324496288440608</v>
      </c>
      <c r="S51" s="375"/>
      <c r="T51" s="376"/>
      <c r="U51" s="377"/>
      <c r="W51" s="3"/>
      <c r="Y51" s="255" t="s">
        <v>28</v>
      </c>
      <c r="Z51" s="256">
        <v>8</v>
      </c>
      <c r="AA51" s="2" t="s">
        <v>15</v>
      </c>
      <c r="AB51" s="256">
        <v>10</v>
      </c>
      <c r="AC51" s="2" t="s">
        <v>15</v>
      </c>
    </row>
    <row r="52" spans="1:35" ht="15.75" customHeight="1" thickBot="1" x14ac:dyDescent="0.3">
      <c r="A52" s="125" t="s">
        <v>14</v>
      </c>
      <c r="B52" s="139" t="s">
        <v>6</v>
      </c>
      <c r="C52" s="251">
        <f>IF(C40=0,"No Data",K40/(L30/100))</f>
        <v>0.33927056827821156</v>
      </c>
      <c r="D52" s="252" t="str">
        <f>IF(D40=0,"No Data",L40/(L31/100))</f>
        <v>No Data</v>
      </c>
      <c r="E52" s="253" t="str">
        <f>IF(E40=0,"No Data",M40/(L32/100))</f>
        <v>No Data</v>
      </c>
      <c r="F52" s="252" t="str">
        <f>IF(F40=0,"No Data",N40/(L33/100))</f>
        <v>No Data</v>
      </c>
      <c r="G52" s="247" t="str">
        <f>IF(COUNT(O40:R40)=1,"1Fib",IF(COUNT(O40:R40)&lt;2,"No Data",IF(AND(S40&gt;K27,K27&gt;T40),"Yes","No")))</f>
        <v>1Fib</v>
      </c>
      <c r="H52" s="235">
        <f t="shared" si="8"/>
        <v>0.33927056827821156</v>
      </c>
      <c r="I52" s="257">
        <f>MAX(O39:R41)-MIN(O39:R41)</f>
        <v>0.14200800000000013</v>
      </c>
      <c r="J52" s="2" t="s">
        <v>40</v>
      </c>
      <c r="K52" s="249" t="str">
        <f t="shared" si="9"/>
        <v>Valid</v>
      </c>
      <c r="L52" s="239">
        <f>IF($B$26=1,L88,0)+IF($B$26=2,L124,0)+IF($B$26=3,L160,0)+IF($B$26=4,L196,0)+IF($B$26=5,L232,0)+IF($B$26=6,L268,0)+IF($B$26=7,L304,0)+IF($B$26=8,L340,0)+IF($B$26=9,L376,0)+IF($B$26=10,L412,0)+IF($B$26=11,#REF!,0)+IF($B$26=12,#REF!,0)+IF($B$26=13,#REF!,0)+IF($B$26=14,#REF!,0)+IF($B$26=15,#REF!,0)+IF($B$26=16,#REF!,0)+IF($B$26=17,#REF!,0)+IF($B$26=18,#REF!,0)+IF($B$26=19,#REF!,0)+IF($B$26=20,#REF!,0)+IF($B$26=21,#REF!,0)</f>
        <v>1</v>
      </c>
      <c r="M52" s="249" t="str">
        <f t="shared" si="10"/>
        <v>Valid</v>
      </c>
      <c r="N52" s="239">
        <f>IF($B$26=1,N88,0)+IF($B$26=2,N124,0)+IF($B$26=3,N160,0)+IF($B$26=4,N196,0)+IF($B$26=5,N232,0)+IF($B$26=6,N268,0)+IF($B$26=7,N304,0)+IF($B$26=8,N340,0)+IF($B$26=9,N376,0)+IF($B$26=10,N412,0)+IF($B$26=11,#REF!,0)+IF($B$26=12,#REF!,0)+IF($B$26=13,#REF!,0)+IF($B$26=14,#REF!,0)+IF($B$26=15,#REF!,0)+IF($B$26=16,#REF!,0)+IF($B$26=17,#REF!,0)+IF($B$26=18,#REF!,0)+IF($B$26=19,#REF!,0)+IF($B$26=20,#REF!,0)+IF($B$26=21,#REF!,0)</f>
        <v>1</v>
      </c>
      <c r="O52" s="249" t="str">
        <f t="shared" si="11"/>
        <v>Valid</v>
      </c>
      <c r="P52" s="239">
        <f>IF($B$26=1,P88,0)+IF($B$26=2,P124,0)+IF($B$26=3,P160,0)+IF($B$26=4,P196,0)+IF($B$26=5,P232,0)+IF($B$26=6,P268,0)+IF($B$26=7,P304,0)+IF($B$26=8,P340,0)+IF($B$26=9,P376,0)+IF($B$26=10,P412,0)+IF($B$26=11,#REF!,0)+IF($B$26=12,#REF!,0)+IF($B$26=13,#REF!,0)+IF($B$26=14,#REF!,0)+IF($B$26=15,#REF!,0)+IF($B$26=16,#REF!,0)+IF($B$26=17,#REF!,0)+IF($B$26=18,#REF!,0)+IF($B$26=19,#REF!,0)+IF($B$26=20,#REF!,0)+IF($B$26=21,#REF!,0)</f>
        <v>3</v>
      </c>
      <c r="Q52" s="242" t="s">
        <v>54</v>
      </c>
      <c r="R52" s="258">
        <f>IF($B$26=1,R88,0)+IF($B$26=2,R124,0)+IF($B$26=3,R160,0)+IF($B$26=4,R196,0)+IF($B$26=5,R232,0)+IF($B$26=6,R268,0)+IF($B$26=7,R304,0)+IF($B$26=8,R340,0)+IF($B$26=9,R376,0)+IF($B$26=10,R412,0)+IF($B$26=11,#REF!,0)+IF($B$26=12,#REF!,0)+IF($B$26=13,#REF!,0)+IF($B$26=14,#REF!,0)+IF($B$26=15,#REF!,0)+IF($B$26=16,#REF!,0)+IF($B$26=17,#REF!,0)+IF($B$26=18,#REF!,0)</f>
        <v>0.20563808453825819</v>
      </c>
      <c r="S52" s="375"/>
      <c r="T52" s="376"/>
      <c r="U52" s="377"/>
      <c r="W52" s="3"/>
      <c r="Y52" s="95"/>
      <c r="Z52" s="2"/>
      <c r="AA52" s="95"/>
      <c r="AB52" s="95"/>
      <c r="AC52" s="259"/>
    </row>
    <row r="53" spans="1:35" ht="15.75" customHeight="1" thickBot="1" x14ac:dyDescent="0.3">
      <c r="A53" s="125" t="s">
        <v>29</v>
      </c>
      <c r="B53" s="155" t="s">
        <v>7</v>
      </c>
      <c r="C53" s="260">
        <f>IF(C41=0,"No Data",K41/(N30/100))</f>
        <v>5.6756756756756488</v>
      </c>
      <c r="D53" s="261">
        <f>IF(D41=0,"No Data",L41/(N31/100))</f>
        <v>16.921638619751853</v>
      </c>
      <c r="E53" s="262" t="str">
        <f>IF(E41=0,"No Data",M41/(N32/100))</f>
        <v>No Data</v>
      </c>
      <c r="F53" s="261" t="str">
        <f>IF(F41=0,"No Data",N41/(N33/100))</f>
        <v>No Data</v>
      </c>
      <c r="G53" s="263" t="str">
        <f>IF(COUNT(O41:R41)=1,"1Fib",IF(COUNT(O41:R41)&lt;2,"No Data",IF(AND(S41&gt;K27,K27&gt;T41),"Yes","No")))</f>
        <v>Yes</v>
      </c>
      <c r="H53" s="264">
        <f t="shared" si="8"/>
        <v>5.6756756756756488</v>
      </c>
      <c r="I53" s="265">
        <f>COUNT(C51:F53)</f>
        <v>6</v>
      </c>
      <c r="J53" s="2" t="s">
        <v>41</v>
      </c>
      <c r="K53" s="249" t="str">
        <f t="shared" si="9"/>
        <v>Valid</v>
      </c>
      <c r="L53" s="239">
        <f>IF($B$26=1,L89,0)+IF($B$26=2,L125,0)+IF($B$26=3,L161,0)+IF($B$26=4,L197,0)+IF($B$26=5,L233,0)+IF($B$26=6,L269,0)+IF($B$26=7,L305,0)+IF($B$26=8,L341,0)+IF($B$26=9,L377,0)+IF($B$26=10,L413,0)+IF($B$26=11,#REF!,0)+IF($B$26=12,#REF!,0)+IF($B$26=13,#REF!,0)+IF($B$26=14,#REF!,0)+IF($B$26=15,#REF!,0)+IF($B$26=16,#REF!,0)+IF($B$26=17,#REF!,0)+IF($B$26=18,#REF!,0)+IF($B$26=19,#REF!,0)+IF($B$26=20,#REF!,0)+IF($B$26=21,#REF!,0)</f>
        <v>1</v>
      </c>
      <c r="M53" s="249" t="str">
        <f t="shared" si="10"/>
        <v>Valid</v>
      </c>
      <c r="N53" s="239">
        <f>IF($B$26=1,N89,0)+IF($B$26=2,N125,0)+IF($B$26=3,N161,0)+IF($B$26=4,N197,0)+IF($B$26=5,N233,0)+IF($B$26=6,N269,0)+IF($B$26=7,N305,0)+IF($B$26=8,N341,0)+IF($B$26=9,N377,0)+IF($B$26=10,N413,0)+IF($B$26=11,#REF!,0)+IF($B$26=12,#REF!,0)+IF($B$26=13,#REF!,0)+IF($B$26=14,#REF!,0)+IF($B$26=15,#REF!,0)+IF($B$26=16,#REF!,0)+IF($B$26=17,#REF!,0)+IF($B$26=18,#REF!,0)+IF($B$26=19,#REF!,0)+IF($B$26=20,#REF!,0)+IF($B$26=21,#REF!,0)</f>
        <v>1</v>
      </c>
      <c r="O53" s="249" t="str">
        <f t="shared" si="11"/>
        <v>Valid</v>
      </c>
      <c r="P53" s="239">
        <f>IF($B$26=1,P89,0)+IF($B$26=2,P125,0)+IF($B$26=3,P161,0)+IF($B$26=4,P197,0)+IF($B$26=5,P233,0)+IF($B$26=6,P269,0)+IF($B$26=7,P305,0)+IF($B$26=8,P341,0)+IF($B$26=9,P377,0)+IF($B$26=10,P413,0)+IF($B$26=11,#REF!,0)+IF($B$26=12,#REF!,0)+IF($B$26=13,#REF!,0)+IF($B$26=14,#REF!,0)+IF($B$26=15,#REF!,0)+IF($B$26=16,#REF!,0)+IF($B$26=17,#REF!,0)+IF($B$26=18,#REF!,0)+IF($B$26=19,#REF!,0)+IF($B$26=20,#REF!,0)+IF($B$26=21,#REF!,0)</f>
        <v>3</v>
      </c>
      <c r="Q53" s="250" t="s">
        <v>48</v>
      </c>
      <c r="R53" s="243">
        <f>IF($B$26=1,R89,0)+IF($B$26=2,R125,0)+IF($B$26=3,R161,0)+IF($B$26=4,R197,0)+IF($B$26=5,R233,0)+IF($B$26=6,R269,0)+IF($B$26=7,R305,0)+IF($B$26=8,R341,0)+IF($B$26=9,R377,0)+IF($B$26=10,R413,0)+IF($B$26=11,#REF!,0)+IF($B$26=12,#REF!,0)+IF($B$26=13,#REF!,0)+IF($B$26=14,#REF!,0)+IF($B$26=15,#REF!,0)+IF($B$26=16,#REF!,0)+IF($B$26=17,#REF!,0)+IF($B$26=18,#REF!,0)</f>
        <v>0.34787191600108053</v>
      </c>
      <c r="S53" s="375"/>
      <c r="T53" s="376"/>
      <c r="U53" s="377"/>
      <c r="W53" s="3"/>
      <c r="Y53" s="95"/>
      <c r="Z53" s="266"/>
      <c r="AA53" s="266"/>
      <c r="AB53" s="266"/>
      <c r="AC53" s="267"/>
    </row>
    <row r="54" spans="1:35" ht="16.5" customHeight="1" thickTop="1" thickBot="1" x14ac:dyDescent="0.3">
      <c r="A54" s="12" t="s">
        <v>47</v>
      </c>
      <c r="B54" s="169" t="s">
        <v>6</v>
      </c>
      <c r="C54" s="268">
        <f>IF(C42=0,"No Data",K42/(G42/100))</f>
        <v>27.323656735421455</v>
      </c>
      <c r="D54" s="268">
        <f t="shared" ref="C54:F57" si="12">IF(D42=0,"No Data",L42/(H42/100))</f>
        <v>19.645848289064361</v>
      </c>
      <c r="E54" s="268">
        <f t="shared" si="12"/>
        <v>11.111111111111111</v>
      </c>
      <c r="F54" s="268">
        <f t="shared" si="12"/>
        <v>11.956330339848559</v>
      </c>
      <c r="G54" s="269"/>
      <c r="H54" s="270">
        <f t="shared" si="8"/>
        <v>11.111111111111111</v>
      </c>
      <c r="I54" s="254">
        <f>MIN(C54:F55)</f>
        <v>0.58324496288440608</v>
      </c>
      <c r="K54" s="271">
        <f>COUNTIFS(G49:K53,"Valid")</f>
        <v>5</v>
      </c>
      <c r="L54" s="14"/>
      <c r="M54" s="271">
        <f>COUNTIFS(M49:M53,"Valid")</f>
        <v>5</v>
      </c>
      <c r="N54" s="14"/>
      <c r="O54" s="271">
        <f>COUNTIFS(O49:O53,"Valid")</f>
        <v>5</v>
      </c>
      <c r="P54" s="14"/>
      <c r="Q54" s="250" t="s">
        <v>56</v>
      </c>
      <c r="R54" s="243">
        <f>IF($B$26=1,R90,0)+IF($B$26=2,R126,0)+IF($B$26=3,R162,0)+IF($B$26=4,R198,0)+IF($B$26=5,R234,0)+IF($B$26=6,R270,0)+IF($B$26=7,R306,0)+IF($B$26=8,R342,0)+IF($B$26=9,R378,0)+IF($B$26=10,R414,0)+IF($B$26=11,#REF!,0)+IF($B$26=12,#REF!,0)+IF($B$26=13,#REF!,0)+IF($B$26=14,#REF!,0)+IF($B$26=15,#REF!,0)+IF($B$26=16,#REF!,0)+IF($B$26=17,#REF!,0)+IF($B$26=18,#REF!,0)</f>
        <v>0.27675500026966932</v>
      </c>
      <c r="S54" s="378"/>
      <c r="T54" s="379"/>
      <c r="U54" s="380"/>
      <c r="W54" s="3"/>
      <c r="Y54" s="255"/>
      <c r="Z54" s="256"/>
      <c r="AA54" s="255"/>
      <c r="AB54" s="256"/>
      <c r="AC54" s="272"/>
    </row>
    <row r="55" spans="1:35" ht="15.75" customHeight="1" thickBot="1" x14ac:dyDescent="0.3">
      <c r="A55" s="12" t="s">
        <v>47</v>
      </c>
      <c r="B55" s="139" t="s">
        <v>74</v>
      </c>
      <c r="C55" s="273">
        <f t="shared" si="12"/>
        <v>15.883807169344864</v>
      </c>
      <c r="D55" s="273">
        <f t="shared" si="12"/>
        <v>4.9832026875699871</v>
      </c>
      <c r="E55" s="273">
        <f t="shared" si="12"/>
        <v>0.58324496288440608</v>
      </c>
      <c r="F55" s="273">
        <f t="shared" si="12"/>
        <v>6.25</v>
      </c>
      <c r="G55" s="269"/>
      <c r="H55" s="235">
        <f t="shared" si="8"/>
        <v>0.58324496288440608</v>
      </c>
      <c r="I55" s="235"/>
      <c r="K55" s="439" t="s">
        <v>116</v>
      </c>
      <c r="L55" s="439"/>
      <c r="M55" s="439"/>
      <c r="N55" s="439"/>
      <c r="O55" s="439"/>
      <c r="P55" s="439"/>
      <c r="Q55" s="274"/>
      <c r="R55" s="397" t="str">
        <f>CONCATENATE(IF($B$26=1,R91,""),IF($B$26=2,R127,""),IF($B$26=3,R163,""),IF($B$26=4,R199,""),IF($B$26=5,R235,""),IF($B$26=6,R271,""),IF($B$26=7,R307,""),IF($B$26=8,R343,""),IF($B$26=9,R379,""),IF($B$26=10,R415,""),IF($B$26=11,#REF!,""),IF($B$26=12,#REF!,""),IF($B$26=13,#REF!,""),IF($B$26=14,#REF!,""),IF($B$26=15,#REF!,""),IF($B$26=16,#REF!,""),IF($B$26=17,#REF!,""),IF($B$26=18,#REF!,""))</f>
        <v/>
      </c>
      <c r="S55" s="398"/>
      <c r="T55" s="398"/>
      <c r="U55" s="399"/>
      <c r="W55" s="3"/>
      <c r="Y55" s="2"/>
      <c r="Z55" s="2"/>
      <c r="AC55" s="259"/>
    </row>
    <row r="56" spans="1:35" ht="15.75" thickBot="1" x14ac:dyDescent="0.3">
      <c r="A56" s="12" t="s">
        <v>46</v>
      </c>
      <c r="B56" s="197" t="s">
        <v>6</v>
      </c>
      <c r="C56" s="273">
        <f t="shared" si="12"/>
        <v>9.8750171679714249</v>
      </c>
      <c r="D56" s="273">
        <f t="shared" si="12"/>
        <v>0.46037078511883545</v>
      </c>
      <c r="E56" s="273">
        <f t="shared" si="12"/>
        <v>77.777777777777786</v>
      </c>
      <c r="F56" s="273" t="str">
        <f t="shared" si="12"/>
        <v>No Data</v>
      </c>
      <c r="G56" s="275"/>
      <c r="H56" s="235">
        <f t="shared" si="8"/>
        <v>0.46037078511883545</v>
      </c>
      <c r="I56" s="235"/>
      <c r="K56" s="440" t="s">
        <v>126</v>
      </c>
      <c r="L56" s="440"/>
      <c r="M56" s="440"/>
      <c r="N56" s="440"/>
      <c r="O56" s="440"/>
      <c r="P56" s="440"/>
      <c r="Q56" s="276" t="s">
        <v>34</v>
      </c>
      <c r="R56" s="400"/>
      <c r="S56" s="401"/>
      <c r="T56" s="401"/>
      <c r="U56" s="402"/>
      <c r="W56" s="3"/>
      <c r="Y56" s="2"/>
      <c r="Z56" s="2"/>
      <c r="AC56" s="259"/>
    </row>
    <row r="57" spans="1:35" ht="15.75" thickBot="1" x14ac:dyDescent="0.3">
      <c r="A57" s="12" t="s">
        <v>66</v>
      </c>
      <c r="B57" s="209" t="s">
        <v>6</v>
      </c>
      <c r="C57" s="277" t="str">
        <f t="shared" si="12"/>
        <v>No Data</v>
      </c>
      <c r="D57" s="277" t="str">
        <f t="shared" si="12"/>
        <v>No Data</v>
      </c>
      <c r="E57" s="277" t="str">
        <f t="shared" si="12"/>
        <v>No Data</v>
      </c>
      <c r="F57" s="277" t="str">
        <f t="shared" si="12"/>
        <v>No Data</v>
      </c>
      <c r="G57" s="278"/>
      <c r="H57" s="235" t="str">
        <f t="shared" si="8"/>
        <v>No Data</v>
      </c>
      <c r="I57" s="235"/>
      <c r="J57" s="279"/>
      <c r="K57" s="440" t="s">
        <v>127</v>
      </c>
      <c r="L57" s="440"/>
      <c r="M57" s="440"/>
      <c r="N57" s="440"/>
      <c r="O57" s="440"/>
      <c r="P57" s="440"/>
      <c r="Q57" s="250"/>
      <c r="R57" s="403"/>
      <c r="S57" s="404"/>
      <c r="T57" s="404"/>
      <c r="U57" s="405"/>
      <c r="W57" s="3"/>
      <c r="Y57" s="255"/>
      <c r="Z57" s="256"/>
      <c r="AA57" s="255"/>
      <c r="AB57" s="256"/>
      <c r="AC57" s="259"/>
    </row>
    <row r="58" spans="1:35" s="79" customFormat="1" x14ac:dyDescent="0.25">
      <c r="A58" s="13"/>
      <c r="B58" s="280"/>
      <c r="C58" s="280"/>
      <c r="D58" s="280"/>
      <c r="E58" s="280"/>
      <c r="F58" s="281"/>
      <c r="G58" s="282"/>
      <c r="H58" s="282"/>
      <c r="I58" s="279"/>
      <c r="J58" s="281"/>
      <c r="K58" s="369"/>
      <c r="L58" s="369"/>
      <c r="M58" s="370"/>
      <c r="N58" s="371"/>
      <c r="O58" s="369"/>
      <c r="P58" s="369"/>
      <c r="Q58" s="286"/>
      <c r="R58" s="286"/>
      <c r="S58" s="287"/>
      <c r="T58" s="78"/>
      <c r="W58" s="3"/>
      <c r="Y58" s="80"/>
      <c r="Z58" s="81"/>
    </row>
    <row r="59" spans="1:35" s="292" customFormat="1" ht="27.75" customHeight="1" x14ac:dyDescent="0.25">
      <c r="A59" s="3"/>
      <c r="B59" s="288" t="s">
        <v>129</v>
      </c>
      <c r="C59" s="3"/>
      <c r="D59" s="289"/>
      <c r="E59" s="290"/>
      <c r="F59" s="291" t="s">
        <v>130</v>
      </c>
      <c r="G59" s="290"/>
      <c r="M59" s="290"/>
      <c r="N59" s="290"/>
      <c r="O59" s="3"/>
      <c r="P59" s="293"/>
      <c r="Q59" s="294"/>
      <c r="R59" s="295"/>
      <c r="S59" s="295"/>
      <c r="T59" s="3"/>
      <c r="W59" s="3"/>
      <c r="Y59" s="296"/>
      <c r="Z59" s="297"/>
    </row>
    <row r="60" spans="1:35" ht="15.75" thickBot="1" x14ac:dyDescent="0.3">
      <c r="A60" s="78"/>
      <c r="B60" s="78"/>
      <c r="C60" s="78"/>
      <c r="D60" s="298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78"/>
      <c r="P60" s="78"/>
      <c r="Q60" s="78"/>
      <c r="R60" s="78"/>
      <c r="S60" s="78"/>
      <c r="T60" s="78"/>
      <c r="W60" s="3"/>
    </row>
    <row r="61" spans="1:35" s="89" customFormat="1" ht="15" customHeight="1" thickBot="1" x14ac:dyDescent="0.3">
      <c r="A61" s="82"/>
      <c r="B61" s="299" t="s">
        <v>95</v>
      </c>
      <c r="C61" s="425">
        <f>C25</f>
        <v>0</v>
      </c>
      <c r="D61" s="426"/>
      <c r="E61" s="425">
        <f>E25</f>
        <v>9</v>
      </c>
      <c r="F61" s="426"/>
      <c r="G61" s="425">
        <f>G25</f>
        <v>16</v>
      </c>
      <c r="H61" s="426"/>
      <c r="I61" s="425">
        <f>I25</f>
        <v>23</v>
      </c>
      <c r="J61" s="426"/>
      <c r="K61" s="425">
        <f>K25</f>
        <v>30</v>
      </c>
      <c r="L61" s="426"/>
      <c r="M61" s="425">
        <f>M25</f>
        <v>33</v>
      </c>
      <c r="N61" s="426"/>
      <c r="O61" s="395"/>
      <c r="P61" s="395"/>
      <c r="Q61" s="395"/>
      <c r="R61" s="395"/>
      <c r="S61" s="395"/>
      <c r="T61" s="395"/>
      <c r="U61" s="395"/>
      <c r="V61" s="395"/>
      <c r="W61" s="3"/>
      <c r="Y61" s="4"/>
      <c r="Z61" s="5"/>
    </row>
    <row r="62" spans="1:35" ht="34.5" thickBot="1" x14ac:dyDescent="0.3">
      <c r="A62" s="300" t="s">
        <v>0</v>
      </c>
      <c r="B62" s="301">
        <v>1</v>
      </c>
      <c r="C62" s="421" t="s">
        <v>5</v>
      </c>
      <c r="D62" s="422"/>
      <c r="E62" s="421" t="s">
        <v>1</v>
      </c>
      <c r="F62" s="422"/>
      <c r="G62" s="421" t="s">
        <v>2</v>
      </c>
      <c r="H62" s="422"/>
      <c r="I62" s="421" t="s">
        <v>3</v>
      </c>
      <c r="J62" s="422"/>
      <c r="K62" s="421" t="s">
        <v>4</v>
      </c>
      <c r="L62" s="422"/>
      <c r="M62" s="421" t="s">
        <v>93</v>
      </c>
      <c r="N62" s="422"/>
      <c r="O62" s="396"/>
      <c r="P62" s="396"/>
      <c r="Q62" s="396"/>
      <c r="R62" s="396"/>
      <c r="S62" s="396"/>
      <c r="T62" s="396"/>
      <c r="U62" s="396"/>
      <c r="V62" s="396"/>
      <c r="W62" s="3"/>
      <c r="X62" s="302" t="str">
        <f>A62</f>
        <v>Gartley</v>
      </c>
      <c r="Y62" s="303"/>
    </row>
    <row r="63" spans="1:35" ht="16.5" customHeight="1" thickBot="1" x14ac:dyDescent="0.3">
      <c r="A63" s="90"/>
      <c r="B63" s="91" t="s">
        <v>96</v>
      </c>
      <c r="C63" s="447">
        <f>C27</f>
        <v>1.8</v>
      </c>
      <c r="D63" s="448"/>
      <c r="E63" s="447">
        <f>E27</f>
        <v>1.2</v>
      </c>
      <c r="F63" s="448"/>
      <c r="G63" s="447">
        <f>G27</f>
        <v>1.57</v>
      </c>
      <c r="H63" s="448"/>
      <c r="I63" s="447">
        <f>I27</f>
        <v>1.2789999999999999</v>
      </c>
      <c r="J63" s="448"/>
      <c r="K63" s="447">
        <f>K27</f>
        <v>1.67</v>
      </c>
      <c r="L63" s="448"/>
      <c r="M63" s="447">
        <f>M27</f>
        <v>0</v>
      </c>
      <c r="N63" s="474"/>
      <c r="O63" s="394"/>
      <c r="P63" s="394"/>
      <c r="Q63" s="394"/>
      <c r="R63" s="394"/>
      <c r="S63" s="394"/>
      <c r="T63" s="394"/>
      <c r="U63" s="394"/>
      <c r="V63" s="394"/>
      <c r="W63" s="3"/>
    </row>
    <row r="64" spans="1:35" ht="34.5" thickBot="1" x14ac:dyDescent="0.3">
      <c r="A64" s="92"/>
      <c r="B64" s="92"/>
      <c r="C64" s="93" t="s">
        <v>16</v>
      </c>
      <c r="D64" s="430" t="s">
        <v>6</v>
      </c>
      <c r="E64" s="431"/>
      <c r="F64" s="430" t="s">
        <v>7</v>
      </c>
      <c r="G64" s="431"/>
      <c r="H64" s="430" t="s">
        <v>8</v>
      </c>
      <c r="I64" s="431"/>
      <c r="J64" s="430" t="s">
        <v>9</v>
      </c>
      <c r="K64" s="431"/>
      <c r="L64" s="449" t="s">
        <v>30</v>
      </c>
      <c r="M64" s="393"/>
      <c r="N64" s="449" t="s">
        <v>31</v>
      </c>
      <c r="O64" s="393"/>
      <c r="P64" s="304"/>
      <c r="Q64" s="78"/>
      <c r="R64" s="78"/>
      <c r="U64" s="259"/>
      <c r="W64" s="3"/>
      <c r="Y64" s="305" t="s">
        <v>36</v>
      </c>
      <c r="Z64" s="230" t="s">
        <v>71</v>
      </c>
      <c r="AA64" s="306" t="s">
        <v>80</v>
      </c>
      <c r="AB64" s="307"/>
      <c r="AC64" s="307"/>
      <c r="AD64" s="308"/>
      <c r="AE64" s="309"/>
      <c r="AF64" s="309"/>
      <c r="AG64" s="309"/>
      <c r="AH64" s="309"/>
      <c r="AI64" s="114"/>
    </row>
    <row r="65" spans="1:35" ht="15.75" customHeight="1" thickBot="1" x14ac:dyDescent="0.3">
      <c r="A65" s="441"/>
      <c r="B65" s="442"/>
      <c r="C65" s="93" t="s">
        <v>33</v>
      </c>
      <c r="D65" s="423">
        <f>IF(C63&lt;E63,E63-C63,C63-E63)</f>
        <v>0.60000000000000009</v>
      </c>
      <c r="E65" s="424"/>
      <c r="F65" s="423">
        <f>IF(G63&lt;E63,E63-G63,G63-E63)</f>
        <v>0.37000000000000011</v>
      </c>
      <c r="G65" s="424"/>
      <c r="H65" s="423">
        <f>IF(I63&lt;G63,G63-I63,I63-G63)</f>
        <v>0.29100000000000015</v>
      </c>
      <c r="I65" s="424"/>
      <c r="J65" s="423">
        <f>IF(K63&lt;I63,I63-K63,K63-I63)</f>
        <v>0.39100000000000001</v>
      </c>
      <c r="K65" s="424"/>
      <c r="L65" s="423">
        <f>IF(C63&lt;E63,E63-C63,C63-E63)</f>
        <v>0.60000000000000009</v>
      </c>
      <c r="M65" s="424"/>
      <c r="N65" s="423">
        <f>IF(E63&lt;G63,G63-E63,E63-G63)</f>
        <v>0.37000000000000011</v>
      </c>
      <c r="O65" s="424"/>
      <c r="P65" s="78"/>
      <c r="Q65" s="76"/>
      <c r="R65" s="76"/>
      <c r="U65" s="310"/>
      <c r="W65" s="3"/>
      <c r="X65" s="2">
        <v>1</v>
      </c>
      <c r="Y65" s="311" t="s">
        <v>70</v>
      </c>
      <c r="Z65" s="312" t="str">
        <f>IF(R85&gt;Z87,CONCATENATE("[Weak Structure: More than ",Z87," % Price deviation]"),"")</f>
        <v/>
      </c>
      <c r="AA65" s="381" t="s">
        <v>72</v>
      </c>
      <c r="AB65" s="382"/>
      <c r="AC65" s="382"/>
      <c r="AD65" s="383"/>
      <c r="AE65" s="313"/>
      <c r="AF65" s="313"/>
      <c r="AG65" s="313"/>
      <c r="AH65" s="313"/>
      <c r="AI65" s="114"/>
    </row>
    <row r="66" spans="1:35" ht="15.75" thickBot="1" x14ac:dyDescent="0.3">
      <c r="A66" s="443"/>
      <c r="B66" s="444"/>
      <c r="C66" s="93" t="s">
        <v>18</v>
      </c>
      <c r="D66" s="437" t="s">
        <v>17</v>
      </c>
      <c r="E66" s="438"/>
      <c r="F66" s="437">
        <f>IF(C73&gt;0,(D65*C73),"No Data")</f>
        <v>0.37080000000000007</v>
      </c>
      <c r="G66" s="438"/>
      <c r="H66" s="437">
        <f>IF(C74&gt;0,(F65*C74),"No Data")</f>
        <v>0.14134000000000005</v>
      </c>
      <c r="I66" s="438"/>
      <c r="J66" s="437">
        <f>IF(C75&gt;0,(H65*C75),"No Data")</f>
        <v>0.3701520000000002</v>
      </c>
      <c r="K66" s="438"/>
      <c r="L66" s="437">
        <f>IF(C76&gt;0,(L65*C76),"No Data")</f>
        <v>0.47160000000000007</v>
      </c>
      <c r="M66" s="438"/>
      <c r="N66" s="437">
        <f>IF(C77&gt;0,(N65*C77),"No Data")</f>
        <v>0.37000000000000011</v>
      </c>
      <c r="O66" s="438"/>
      <c r="P66" s="314"/>
      <c r="Q66" s="76"/>
      <c r="R66" s="76"/>
      <c r="U66" s="272"/>
      <c r="W66" s="3"/>
      <c r="X66" s="2">
        <v>2</v>
      </c>
      <c r="Y66" s="311" t="s">
        <v>70</v>
      </c>
      <c r="Z66" s="312" t="str">
        <f>IF(R86&gt;AB87,CONCATENATE("[Weak Structure: More than ",AB87," % Time deviation]"),"")</f>
        <v/>
      </c>
      <c r="AA66" s="381" t="s">
        <v>73</v>
      </c>
      <c r="AB66" s="382"/>
      <c r="AC66" s="382"/>
      <c r="AD66" s="383"/>
      <c r="AE66" s="313"/>
      <c r="AF66" s="313"/>
      <c r="AG66" s="313"/>
      <c r="AH66" s="313"/>
      <c r="AI66" s="114"/>
    </row>
    <row r="67" spans="1:35" ht="15.75" thickBot="1" x14ac:dyDescent="0.3">
      <c r="A67" s="443"/>
      <c r="B67" s="444"/>
      <c r="C67" s="93" t="s">
        <v>19</v>
      </c>
      <c r="D67" s="437" t="s">
        <v>17</v>
      </c>
      <c r="E67" s="438"/>
      <c r="F67" s="437" t="str">
        <f>IF(D73&gt;0,(D65*D73),"No Data")</f>
        <v>No Data</v>
      </c>
      <c r="G67" s="438"/>
      <c r="H67" s="437">
        <f>IF(D74&gt;0,(F65*D74),"No Data")</f>
        <v>0.22866000000000006</v>
      </c>
      <c r="I67" s="438"/>
      <c r="J67" s="437">
        <f>IF(D75&gt;0,(H65*D75),"No Data")</f>
        <v>0.47083800000000026</v>
      </c>
      <c r="K67" s="438"/>
      <c r="L67" s="437" t="str">
        <f>IF(D76&gt;0,(L65*D76),"No Data")</f>
        <v>No Data</v>
      </c>
      <c r="M67" s="438"/>
      <c r="N67" s="437">
        <f>IF(D77&gt;0,(N65*D77),"No Data")</f>
        <v>0.47064000000000017</v>
      </c>
      <c r="O67" s="438"/>
      <c r="P67" s="314"/>
      <c r="Q67" s="76"/>
      <c r="R67" s="76"/>
      <c r="U67" s="259"/>
      <c r="W67" s="3"/>
      <c r="X67" s="2">
        <v>3</v>
      </c>
      <c r="Y67" s="311"/>
      <c r="Z67" s="315"/>
      <c r="AA67" s="381"/>
      <c r="AB67" s="382"/>
      <c r="AC67" s="382"/>
      <c r="AD67" s="383"/>
      <c r="AE67" s="313"/>
      <c r="AF67" s="313"/>
      <c r="AG67" s="313"/>
      <c r="AH67" s="313"/>
      <c r="AI67" s="114"/>
    </row>
    <row r="68" spans="1:35" ht="15.75" thickBot="1" x14ac:dyDescent="0.3">
      <c r="A68" s="443"/>
      <c r="B68" s="444"/>
      <c r="C68" s="93" t="s">
        <v>20</v>
      </c>
      <c r="D68" s="437" t="s">
        <v>17</v>
      </c>
      <c r="E68" s="438"/>
      <c r="F68" s="437" t="str">
        <f>IF(E73&gt;0,(D65*E73),"No Data")</f>
        <v>No Data</v>
      </c>
      <c r="G68" s="438"/>
      <c r="H68" s="437">
        <f>IF(E74&gt;0,(F65*E74),"No Data")</f>
        <v>0.29082000000000008</v>
      </c>
      <c r="I68" s="438"/>
      <c r="J68" s="437">
        <f>IF(E75&gt;0,(H65*E75),"No Data")</f>
        <v>0.32883000000000012</v>
      </c>
      <c r="K68" s="438"/>
      <c r="L68" s="437" t="str">
        <f>IF(E76&gt;0,(L65*E76),"No Data")</f>
        <v>No Data</v>
      </c>
      <c r="M68" s="438"/>
      <c r="N68" s="437" t="str">
        <f>IF(E77&gt;0,(N65*E77),"No Data")</f>
        <v>No Data</v>
      </c>
      <c r="O68" s="438"/>
      <c r="P68" s="314"/>
      <c r="Q68" s="316"/>
      <c r="R68" s="76"/>
      <c r="U68" s="259"/>
      <c r="W68" s="3"/>
      <c r="X68" s="2">
        <v>4</v>
      </c>
      <c r="Y68" s="311"/>
      <c r="Z68" s="317"/>
      <c r="AA68" s="381"/>
      <c r="AB68" s="382"/>
      <c r="AC68" s="382"/>
      <c r="AD68" s="383"/>
      <c r="AE68" s="313"/>
      <c r="AF68" s="313"/>
      <c r="AG68" s="313"/>
      <c r="AH68" s="313"/>
      <c r="AI68" s="114"/>
    </row>
    <row r="69" spans="1:35" ht="15.75" thickBot="1" x14ac:dyDescent="0.3">
      <c r="A69" s="445"/>
      <c r="B69" s="446"/>
      <c r="C69" s="93" t="s">
        <v>21</v>
      </c>
      <c r="D69" s="437" t="s">
        <v>17</v>
      </c>
      <c r="E69" s="438"/>
      <c r="F69" s="437" t="str">
        <f>IF(F73&gt;0,(D65*F73),"No Data")</f>
        <v>No Data</v>
      </c>
      <c r="G69" s="438"/>
      <c r="H69" s="437">
        <f>IF(F74&gt;0,(F65*F74),"No Data")</f>
        <v>0.32782000000000011</v>
      </c>
      <c r="I69" s="438"/>
      <c r="J69" s="437" t="str">
        <f>IF(F75&gt;0,(H65*F75),"No Data")</f>
        <v>No Data</v>
      </c>
      <c r="K69" s="438"/>
      <c r="L69" s="437" t="str">
        <f>IF(F76&gt;0,(L65*F76),"No Data")</f>
        <v>No Data</v>
      </c>
      <c r="M69" s="438"/>
      <c r="N69" s="437" t="str">
        <f>IF(F77&gt;0,(N65*F77),"No Data")</f>
        <v>No Data</v>
      </c>
      <c r="O69" s="438"/>
      <c r="P69" s="314"/>
      <c r="Q69" s="76"/>
      <c r="R69" s="76"/>
      <c r="U69" s="259"/>
      <c r="W69" s="3"/>
      <c r="X69" s="2">
        <v>5</v>
      </c>
      <c r="Y69" s="311" t="s">
        <v>70</v>
      </c>
      <c r="Z69" s="312" t="str">
        <f>IF(C63&gt;E63,IF(AND(C63&gt;E63,E63&lt;G63,G63&gt;I63,I63&lt;K63),"","[No Structure found] "),IF(AND(C63&lt;E63,E63&gt;G63,G63&lt;I63,I63&gt;K63),"","[No Structure found] "))</f>
        <v/>
      </c>
      <c r="AA69" s="381" t="s">
        <v>81</v>
      </c>
      <c r="AB69" s="382"/>
      <c r="AC69" s="382"/>
      <c r="AD69" s="383"/>
      <c r="AE69" s="313"/>
      <c r="AF69" s="313"/>
      <c r="AG69" s="313"/>
      <c r="AH69" s="313"/>
      <c r="AI69" s="114"/>
    </row>
    <row r="70" spans="1:35" ht="15.75" customHeight="1" thickBot="1" x14ac:dyDescent="0.3">
      <c r="A70" s="432" t="str">
        <f>CONCATENATE(IF(C63&gt;E63,"Bearish",""),(IF(C63&lt;E63,"Bullish","")))</f>
        <v>Bearish</v>
      </c>
      <c r="B70" s="433"/>
      <c r="N70" s="114"/>
      <c r="W70" s="3"/>
      <c r="X70" s="2">
        <v>6</v>
      </c>
      <c r="Y70" s="311" t="s">
        <v>70</v>
      </c>
      <c r="Z70" s="312" t="str">
        <f>CONCATENATE(IF(AND(C63&gt;E63,K63&gt;C63),"[Structure Violation: D passed X] ",""),IF(AND(C63&lt;E63,K63&lt;C63),"[Structure Violation: D passed X] ",""))</f>
        <v/>
      </c>
      <c r="AA70" s="381" t="s">
        <v>83</v>
      </c>
      <c r="AB70" s="382"/>
      <c r="AC70" s="382"/>
      <c r="AD70" s="383"/>
      <c r="AE70" s="313"/>
      <c r="AF70" s="313"/>
      <c r="AG70" s="313"/>
      <c r="AH70" s="313"/>
      <c r="AI70" s="114"/>
    </row>
    <row r="71" spans="1:35" ht="15.75" thickBot="1" x14ac:dyDescent="0.3">
      <c r="C71" s="418" t="s">
        <v>50</v>
      </c>
      <c r="D71" s="419"/>
      <c r="E71" s="419"/>
      <c r="F71" s="420"/>
      <c r="G71" s="427" t="s">
        <v>49</v>
      </c>
      <c r="H71" s="428"/>
      <c r="I71" s="428"/>
      <c r="J71" s="429"/>
      <c r="K71" s="427" t="s">
        <v>52</v>
      </c>
      <c r="L71" s="428"/>
      <c r="M71" s="428"/>
      <c r="N71" s="428"/>
      <c r="O71" s="427" t="s">
        <v>67</v>
      </c>
      <c r="P71" s="428"/>
      <c r="Q71" s="428"/>
      <c r="R71" s="429"/>
      <c r="S71" s="384" t="s">
        <v>65</v>
      </c>
      <c r="T71" s="385"/>
      <c r="W71" s="3"/>
      <c r="X71" s="2">
        <v>7</v>
      </c>
      <c r="Y71" s="311" t="s">
        <v>70</v>
      </c>
      <c r="Z71" s="318" t="str">
        <f>CONCATENATE(IF(AND(C63&gt;E63,I63&lt;E63),"[Structure Violation: C passed A] ",""),IF(AND(C63&lt;E63,I63&gt;E63),"[Structure Violation: C passed A] ",""))</f>
        <v/>
      </c>
      <c r="AA71" s="381" t="s">
        <v>84</v>
      </c>
      <c r="AB71" s="382"/>
      <c r="AC71" s="382"/>
      <c r="AD71" s="383"/>
      <c r="AE71" s="313"/>
      <c r="AF71" s="313"/>
      <c r="AG71" s="313"/>
      <c r="AH71" s="313"/>
      <c r="AI71" s="114"/>
    </row>
    <row r="72" spans="1:35" ht="15.75" thickBot="1" x14ac:dyDescent="0.3">
      <c r="A72" s="115" t="s">
        <v>10</v>
      </c>
      <c r="B72" s="116" t="s">
        <v>51</v>
      </c>
      <c r="C72" s="319">
        <v>1</v>
      </c>
      <c r="D72" s="319">
        <v>2</v>
      </c>
      <c r="E72" s="319">
        <v>3</v>
      </c>
      <c r="F72" s="319">
        <v>4</v>
      </c>
      <c r="G72" s="118">
        <v>1</v>
      </c>
      <c r="H72" s="118">
        <v>2</v>
      </c>
      <c r="I72" s="118">
        <v>3</v>
      </c>
      <c r="J72" s="118">
        <v>4</v>
      </c>
      <c r="K72" s="119">
        <v>1</v>
      </c>
      <c r="L72" s="119">
        <v>2</v>
      </c>
      <c r="M72" s="119">
        <v>3</v>
      </c>
      <c r="N72" s="120">
        <v>4</v>
      </c>
      <c r="O72" s="118">
        <v>1</v>
      </c>
      <c r="P72" s="119">
        <v>2</v>
      </c>
      <c r="Q72" s="118">
        <v>3</v>
      </c>
      <c r="R72" s="119">
        <v>4</v>
      </c>
      <c r="S72" s="121" t="s">
        <v>63</v>
      </c>
      <c r="T72" s="122" t="s">
        <v>64</v>
      </c>
      <c r="W72" s="3"/>
      <c r="X72" s="2">
        <v>8</v>
      </c>
      <c r="Y72" s="311" t="s">
        <v>70</v>
      </c>
      <c r="Z72" s="312" t="str">
        <f>CONCATENATE(IF(AND(C63&gt;E63,G63&gt;C63),"[Structure Violaton: B passed X] ",""),IF(AND(C63&lt;E63,G63&lt;C63),"[Structure Violation: B passed X] ",""))</f>
        <v/>
      </c>
      <c r="AA72" s="381" t="s">
        <v>85</v>
      </c>
      <c r="AB72" s="382"/>
      <c r="AC72" s="382"/>
      <c r="AD72" s="383"/>
      <c r="AE72" s="313"/>
      <c r="AF72" s="313"/>
      <c r="AG72" s="313"/>
      <c r="AH72" s="313"/>
      <c r="AI72" s="114"/>
    </row>
    <row r="73" spans="1:35" ht="15.75" thickBot="1" x14ac:dyDescent="0.3">
      <c r="A73" s="12" t="s">
        <v>11</v>
      </c>
      <c r="B73" s="320" t="s">
        <v>6</v>
      </c>
      <c r="C73" s="321">
        <v>0.61799999999999999</v>
      </c>
      <c r="D73" s="322"/>
      <c r="E73" s="322"/>
      <c r="F73" s="323"/>
      <c r="G73" s="130">
        <f>IF(C63&gt;E63,IF(C73&gt;0,E63+(D65*C73),0),IF(C73&gt;0,E63-(D65*C73),0))</f>
        <v>1.5708</v>
      </c>
      <c r="H73" s="131">
        <f>IF(C63&gt;E63,IF(D73&gt;0,E63+(D65*D73),0),IF(D73&gt;0,E63-(D65*D73),0))</f>
        <v>0</v>
      </c>
      <c r="I73" s="131">
        <f>IF(C63&gt;E63,IF(E73&gt;0,E63+(D65*E73),0),IF(E73&gt;0,E63-(D65*E73),0))</f>
        <v>0</v>
      </c>
      <c r="J73" s="131">
        <f>IF(C63&gt;E63,IF(F73&gt;0,E63+(D65*F73),0),IF(F73&gt;0,E63-(D65*F73),0))</f>
        <v>0</v>
      </c>
      <c r="K73" s="133">
        <f>IF(C73&gt;0,IF(G73&lt;G63,G63-G73,G73-G63),0)</f>
        <v>7.9999999999991189E-4</v>
      </c>
      <c r="L73" s="134">
        <f>IF(D73&gt;0,IF(H73&lt;G63,G63-H73,H73-G63),0)</f>
        <v>0</v>
      </c>
      <c r="M73" s="134">
        <f>IF(E73&gt;0,IF(I73&lt;G63,G63-I73,I73-G63),0)</f>
        <v>0</v>
      </c>
      <c r="N73" s="135">
        <f>IF(F73&gt;0,IF(J73&lt;G63,G63-J73,J73-G63),0)</f>
        <v>0</v>
      </c>
      <c r="O73" s="130">
        <f t="shared" ref="O73:O81" si="13">IF(C73=0,"No Data",G73)</f>
        <v>1.5708</v>
      </c>
      <c r="P73" s="131" t="str">
        <f t="shared" ref="P73:P81" si="14">IF(D73=0,"No Data",H73)</f>
        <v>No Data</v>
      </c>
      <c r="Q73" s="131" t="str">
        <f t="shared" ref="Q73:Q81" si="15">IF(E73=0,"No Data",I73)</f>
        <v>No Data</v>
      </c>
      <c r="R73" s="132" t="str">
        <f t="shared" ref="R73:R81" si="16">IF(F73=0,"No Data",J73)</f>
        <v>No Data</v>
      </c>
      <c r="S73" s="136">
        <f t="shared" ref="S73:S77" si="17">MAX(O73:R73)</f>
        <v>1.5708</v>
      </c>
      <c r="T73" s="137">
        <f t="shared" ref="T73:T74" si="18">MIN(O73:R73)</f>
        <v>1.5708</v>
      </c>
      <c r="W73" s="3"/>
      <c r="X73" s="2">
        <v>9</v>
      </c>
      <c r="Y73" s="311" t="s">
        <v>57</v>
      </c>
      <c r="Z73" s="312" t="str">
        <f>CONCATENATE(IF(AND(C63&gt;E63,I63&gt;E63),"[Structure Violation: C above A] ",""),IF(AND(C63&lt;E63,I63&lt;E63),"[Structure Violation: C below A] ",""))</f>
        <v xml:space="preserve">[Structure Violation: C above A] </v>
      </c>
      <c r="AA73" s="381" t="s">
        <v>86</v>
      </c>
      <c r="AB73" s="382"/>
      <c r="AC73" s="382"/>
      <c r="AD73" s="383"/>
      <c r="AE73" s="313"/>
      <c r="AF73" s="313"/>
      <c r="AG73" s="313"/>
      <c r="AH73" s="313"/>
      <c r="AI73" s="114"/>
    </row>
    <row r="74" spans="1:35" ht="15.75" thickBot="1" x14ac:dyDescent="0.3">
      <c r="A74" s="12" t="s">
        <v>12</v>
      </c>
      <c r="B74" s="324" t="s">
        <v>7</v>
      </c>
      <c r="C74" s="325">
        <v>0.38200000000000001</v>
      </c>
      <c r="D74" s="326">
        <v>0.61799999999999999</v>
      </c>
      <c r="E74" s="326">
        <v>0.78600000000000003</v>
      </c>
      <c r="F74" s="327">
        <v>0.88600000000000001</v>
      </c>
      <c r="G74" s="143">
        <f>IF(C63&gt;E63,IF(C74&gt;0,G63-(F65*C74),0),IF(C74&gt;0,G63+(F65*C74),0))</f>
        <v>1.42866</v>
      </c>
      <c r="H74" s="144">
        <f>IF(C63&gt;E63,IF(D74&gt;0,G63-(F65*D74),0),IF(D74&gt;0,G63+(F65*D74),0))</f>
        <v>1.34134</v>
      </c>
      <c r="I74" s="144">
        <f>IF(C63&gt;E63,IF(E74&gt;0,G63-(F65*E74),0),IF(E74&gt;0,G63+(F65*E74),0))</f>
        <v>1.27918</v>
      </c>
      <c r="J74" s="328">
        <f>IF(C63&gt;E63,IF(F74&gt;0,G63-(F65*F74),0),IF(F74&gt;0,G63+(F65*F74),0))</f>
        <v>1.2421799999999998</v>
      </c>
      <c r="K74" s="146">
        <f>IF(C74&gt;0,IF(G74&lt;I63,I63-G74,G74-I63),0)</f>
        <v>0.14966000000000013</v>
      </c>
      <c r="L74" s="147">
        <f>IF(D74&gt;0,IF(H74&lt;I63,I63-H74,H74-I63),0)</f>
        <v>6.2340000000000062E-2</v>
      </c>
      <c r="M74" s="147">
        <f>IF(E74&gt;0,IF(I74&lt;I63,I63-I74,I74-I63),0)</f>
        <v>1.8000000000006899E-4</v>
      </c>
      <c r="N74" s="148">
        <f>IF(F74&gt;0,IF(J74&lt;I63,I63-J74,J74-I63),0)</f>
        <v>3.6820000000000075E-2</v>
      </c>
      <c r="O74" s="143">
        <f t="shared" si="13"/>
        <v>1.42866</v>
      </c>
      <c r="P74" s="144">
        <f t="shared" si="14"/>
        <v>1.34134</v>
      </c>
      <c r="Q74" s="144">
        <f t="shared" si="15"/>
        <v>1.27918</v>
      </c>
      <c r="R74" s="145">
        <f t="shared" si="16"/>
        <v>1.2421799999999998</v>
      </c>
      <c r="S74" s="149">
        <f t="shared" si="17"/>
        <v>1.42866</v>
      </c>
      <c r="T74" s="150">
        <f t="shared" si="18"/>
        <v>1.2421799999999998</v>
      </c>
      <c r="W74" s="3"/>
      <c r="X74" s="2">
        <v>10</v>
      </c>
      <c r="Y74" s="311" t="s">
        <v>70</v>
      </c>
      <c r="Z74" s="318" t="str">
        <f>CONCATENATE(IF(AND(C63&gt;E63,G63&gt;K63),"[Structure Violation: B above D] ",""),IF(AND(C63&lt;E63,G63&lt;K63),"[Structure Violation: B below D] ",""))</f>
        <v/>
      </c>
      <c r="AA74" s="381" t="s">
        <v>87</v>
      </c>
      <c r="AB74" s="382"/>
      <c r="AC74" s="382"/>
      <c r="AD74" s="383"/>
      <c r="AE74" s="313"/>
      <c r="AF74" s="313"/>
      <c r="AG74" s="313"/>
      <c r="AH74" s="313"/>
      <c r="AI74" s="114"/>
    </row>
    <row r="75" spans="1:35" ht="15.75" thickBot="1" x14ac:dyDescent="0.3">
      <c r="A75" s="12" t="s">
        <v>13</v>
      </c>
      <c r="B75" s="324" t="s">
        <v>8</v>
      </c>
      <c r="C75" s="325">
        <v>1.272</v>
      </c>
      <c r="D75" s="326">
        <v>1.6180000000000001</v>
      </c>
      <c r="E75" s="326">
        <v>1.1299999999999999</v>
      </c>
      <c r="F75" s="327"/>
      <c r="G75" s="143">
        <f>IF(C63&gt;E63,IF(C75&gt;0,I63+(H65*C75),0),IF(C75&gt;0,I63-(H65*C75),0))</f>
        <v>1.6491520000000002</v>
      </c>
      <c r="H75" s="144">
        <f>IF(C63&gt;E63,IF(D75&gt;0,I63+(H65*D75),0),IF(D75&gt;0,I63-(H65*D75),0))</f>
        <v>1.7498380000000002</v>
      </c>
      <c r="I75" s="144">
        <f>IF(C63&gt;E63,IF(E75&gt;0,I63+(H65*E75),0),IF(E75&gt;0,I63-(H65*E75),0))</f>
        <v>1.6078300000000001</v>
      </c>
      <c r="J75" s="328">
        <f>IF(C63&gt;E63,IF(F75&gt;0,I63+(H65*F75),0),IF(F75&gt;0,I63-(H65*F75),0))</f>
        <v>0</v>
      </c>
      <c r="K75" s="146">
        <f>IF(C75&gt;0,IF(G75&lt;K63,K63-G75,G75-K63),0)</f>
        <v>2.0847999999999756E-2</v>
      </c>
      <c r="L75" s="147">
        <f>IF(D75&gt;0,IF(H75&lt;K63,K63-H75,H75-K63),0)</f>
        <v>7.9838000000000298E-2</v>
      </c>
      <c r="M75" s="147">
        <f>IF(E75&gt;0,IF(I75&lt;K63,K63-I75,I75-K63),0)</f>
        <v>6.2169999999999837E-2</v>
      </c>
      <c r="N75" s="148">
        <f>IF(F75&gt;0,IF(J75&lt;K63,K63-J75,J75-K63),0)</f>
        <v>0</v>
      </c>
      <c r="O75" s="143">
        <f t="shared" si="13"/>
        <v>1.6491520000000002</v>
      </c>
      <c r="P75" s="144">
        <f t="shared" si="14"/>
        <v>1.7498380000000002</v>
      </c>
      <c r="Q75" s="144">
        <f t="shared" si="15"/>
        <v>1.6078300000000001</v>
      </c>
      <c r="R75" s="145" t="str">
        <f t="shared" si="16"/>
        <v>No Data</v>
      </c>
      <c r="S75" s="151">
        <f t="shared" si="17"/>
        <v>1.7498380000000002</v>
      </c>
      <c r="T75" s="150">
        <f>MIN(O75:R75)</f>
        <v>1.6078300000000001</v>
      </c>
      <c r="W75" s="3"/>
      <c r="X75" s="2">
        <v>11</v>
      </c>
      <c r="Y75" s="311" t="s">
        <v>57</v>
      </c>
      <c r="Z75" s="312" t="str">
        <f>CONCATENATE(IF(AND(C63&gt;E63,K63&lt;C63),"[Structure Violation: D below X] ",""),IF(AND(C63&lt;E63,K63&gt;C63),"[Structure Violation: D above X] ",""))</f>
        <v xml:space="preserve">[Structure Violation: D below X] </v>
      </c>
      <c r="AA75" s="381" t="s">
        <v>88</v>
      </c>
      <c r="AB75" s="382"/>
      <c r="AC75" s="382"/>
      <c r="AD75" s="383"/>
    </row>
    <row r="76" spans="1:35" ht="15.75" thickBot="1" x14ac:dyDescent="0.3">
      <c r="A76" s="12" t="s">
        <v>14</v>
      </c>
      <c r="B76" s="324" t="s">
        <v>6</v>
      </c>
      <c r="C76" s="325">
        <v>0.78600000000000003</v>
      </c>
      <c r="D76" s="326"/>
      <c r="E76" s="326"/>
      <c r="F76" s="327"/>
      <c r="G76" s="152">
        <f>IF(C63&gt;E63,IF(C76&gt;0,E63+(D65*C76),0),IF(C76&gt;0,E63-(D65*C76),0))</f>
        <v>1.6716</v>
      </c>
      <c r="H76" s="144">
        <f>IF(C63&gt;E63,IF(D76&gt;0,E63+(D65*D76),0),IF(D76&gt;0,E63-(D65*D76),0))</f>
        <v>0</v>
      </c>
      <c r="I76" s="144">
        <f>IF(C63&gt;E63,IF(E76&gt;0,E63+(D65*E76),0),IF(E76&gt;0,E63-(D65*E76),0))</f>
        <v>0</v>
      </c>
      <c r="J76" s="329">
        <f>IF(C63&gt;E63,IF(F76&gt;0,E63+(D65*F76),0),IF(F76&gt;0,E63-(D65*F76),0))</f>
        <v>0</v>
      </c>
      <c r="K76" s="146">
        <f>IF(C76&gt;0,IF(G76&lt;K63,K63-G76,G76-K63),0)</f>
        <v>1.6000000000000458E-3</v>
      </c>
      <c r="L76" s="147">
        <f>IF(D76&gt;0,IF(H76&lt;K63,K63-H76,H76-K63),0)</f>
        <v>0</v>
      </c>
      <c r="M76" s="147">
        <f>IF(E76&gt;0,IF(I76&lt;K63,K63-I76,I76-K63),0)</f>
        <v>0</v>
      </c>
      <c r="N76" s="148">
        <f>IF(F76&gt;0,IF(J76&lt;K63,K63-J76,J76-K63),0)</f>
        <v>0</v>
      </c>
      <c r="O76" s="152">
        <f>IF(C76=0,"No Data",G76)</f>
        <v>1.6716</v>
      </c>
      <c r="P76" s="144" t="str">
        <f>IF(D76=0,"No Data",H76)</f>
        <v>No Data</v>
      </c>
      <c r="Q76" s="144" t="str">
        <f t="shared" si="15"/>
        <v>No Data</v>
      </c>
      <c r="R76" s="153" t="str">
        <f>IF(F76=0,"No Data",J76)</f>
        <v>No Data</v>
      </c>
      <c r="S76" s="149">
        <f t="shared" si="17"/>
        <v>1.6716</v>
      </c>
      <c r="T76" s="150">
        <f t="shared" ref="T76:T77" si="19">MIN(O76:R76)</f>
        <v>1.6716</v>
      </c>
      <c r="W76" s="3"/>
      <c r="X76" s="2">
        <v>12</v>
      </c>
      <c r="Y76" s="311" t="s">
        <v>57</v>
      </c>
      <c r="Z76" s="312" t="str">
        <f>CONCATENATE(IF(AND(C63&gt;E63,K63&gt;G63),"[Structure Violation: D passed B] ",""),IF(AND(C63&lt;E63,K63&lt;G63),"[Structure Violation: D passed B] ",""))</f>
        <v xml:space="preserve">[Structure Violation: D passed B] </v>
      </c>
      <c r="AA76" s="381" t="s">
        <v>89</v>
      </c>
      <c r="AB76" s="382"/>
      <c r="AC76" s="382"/>
      <c r="AD76" s="383"/>
    </row>
    <row r="77" spans="1:35" ht="15.75" thickBot="1" x14ac:dyDescent="0.3">
      <c r="A77" s="330" t="s">
        <v>29</v>
      </c>
      <c r="B77" s="331" t="s">
        <v>7</v>
      </c>
      <c r="C77" s="332">
        <v>1</v>
      </c>
      <c r="D77" s="333">
        <v>1.272</v>
      </c>
      <c r="E77" s="333"/>
      <c r="F77" s="334"/>
      <c r="G77" s="159">
        <f>IF(C63&gt;E63,IF(C77&gt;0,I63+(F65*C77),0),IF(C77&gt;0,I63-(F65*C77),0))</f>
        <v>1.649</v>
      </c>
      <c r="H77" s="160">
        <f>IF(C63&gt;E63,IF(D77&gt;0,I63+(F65*D77),0),IF(D77&gt;0,I63-(F65*D77),0))</f>
        <v>1.7496400000000001</v>
      </c>
      <c r="I77" s="160">
        <f>IF(C63&gt;E63,IF(E77&gt;0,I63+(F65*E77),0),IF(E77&gt;0,I63-(F65*E77),0))</f>
        <v>0</v>
      </c>
      <c r="J77" s="160">
        <f>IF(C63&gt;E63,IF(F77&gt;0,I63+(F65*F77),0),IF(F77&gt;0,I63-(F65*F77),0))</f>
        <v>0</v>
      </c>
      <c r="K77" s="162">
        <f>IF(C77&gt;0,IF(G77&lt;K63,K63-G77,G77-K63),0)</f>
        <v>2.0999999999999908E-2</v>
      </c>
      <c r="L77" s="163">
        <f>IF(D77&gt;0,IF(H77&lt;K63,K63-H77,H77-K63),0)</f>
        <v>7.9640000000000155E-2</v>
      </c>
      <c r="M77" s="163">
        <f>IF(E77&gt;0,IF(I77&lt;K63,K63-I77,I77-K63),0)</f>
        <v>0</v>
      </c>
      <c r="N77" s="164">
        <f>IF(F77&gt;0,IF(J77&lt;K63,K63-J77,J77-K63),0)</f>
        <v>0</v>
      </c>
      <c r="O77" s="159">
        <f t="shared" si="13"/>
        <v>1.649</v>
      </c>
      <c r="P77" s="160">
        <f t="shared" si="14"/>
        <v>1.7496400000000001</v>
      </c>
      <c r="Q77" s="160" t="str">
        <f t="shared" si="15"/>
        <v>No Data</v>
      </c>
      <c r="R77" s="161" t="str">
        <f t="shared" si="16"/>
        <v>No Data</v>
      </c>
      <c r="S77" s="165">
        <f t="shared" si="17"/>
        <v>1.7496400000000001</v>
      </c>
      <c r="T77" s="166">
        <f t="shared" si="19"/>
        <v>1.649</v>
      </c>
      <c r="W77" s="3"/>
      <c r="X77" s="2">
        <v>13</v>
      </c>
      <c r="Y77" s="311" t="s">
        <v>57</v>
      </c>
      <c r="Z77" s="312" t="str">
        <f>CONCATENATE(IF(AND(C63&gt;E63,G63&lt;C63),"[Structure Violation: B below X] ",""),IF(AND(C63&lt;E63,G63&gt;C63),"[Structure Violation: B above X] ",""))</f>
        <v xml:space="preserve">[Structure Violation: B below X] </v>
      </c>
      <c r="AA77" s="381" t="s">
        <v>90</v>
      </c>
      <c r="AB77" s="382"/>
      <c r="AC77" s="382"/>
      <c r="AD77" s="383"/>
    </row>
    <row r="78" spans="1:35" ht="16.5" thickTop="1" thickBot="1" x14ac:dyDescent="0.3">
      <c r="A78" s="12" t="s">
        <v>47</v>
      </c>
      <c r="B78" s="335" t="s">
        <v>6</v>
      </c>
      <c r="C78" s="336">
        <v>2.6179999999999999</v>
      </c>
      <c r="D78" s="337">
        <v>2.786</v>
      </c>
      <c r="E78" s="337">
        <v>3</v>
      </c>
      <c r="F78" s="338">
        <v>3.786</v>
      </c>
      <c r="G78" s="339">
        <f>E61*C78</f>
        <v>23.561999999999998</v>
      </c>
      <c r="H78" s="174">
        <f>E61*D78</f>
        <v>25.074000000000002</v>
      </c>
      <c r="I78" s="175">
        <f>E61*E78</f>
        <v>27</v>
      </c>
      <c r="J78" s="176">
        <f>E61*F78</f>
        <v>34.073999999999998</v>
      </c>
      <c r="K78" s="177">
        <f>IF(C78=0,0,IF(K61&gt;G78,K61-G78,G78-K61))</f>
        <v>6.4380000000000024</v>
      </c>
      <c r="L78" s="178">
        <f>IF(D78=0,0,IF(K61&gt;H78,K61-H78,H78-K61))</f>
        <v>4.9259999999999984</v>
      </c>
      <c r="M78" s="178">
        <f>IF(E78=0,0,IF(K61&gt;I78,K61-I78,I78-K61))</f>
        <v>3</v>
      </c>
      <c r="N78" s="179">
        <f>IF(F78=0,0,IF(K61&gt;J78,K61-J78,J78-K61))</f>
        <v>4.0739999999999981</v>
      </c>
      <c r="O78" s="339">
        <f>IF(C78=0,"No Data",G78)</f>
        <v>23.561999999999998</v>
      </c>
      <c r="P78" s="174">
        <f>IF(D78=0,"No Data",H78)</f>
        <v>25.074000000000002</v>
      </c>
      <c r="Q78" s="175">
        <f t="shared" si="15"/>
        <v>27</v>
      </c>
      <c r="R78" s="176">
        <f t="shared" si="16"/>
        <v>34.073999999999998</v>
      </c>
      <c r="S78" s="180"/>
      <c r="T78" s="181"/>
      <c r="W78" s="3"/>
      <c r="X78" s="2">
        <v>14</v>
      </c>
      <c r="Y78" s="311" t="s">
        <v>57</v>
      </c>
      <c r="Z78" s="312" t="str">
        <f>CONCATENATE(IF(AND(E63&gt;G63,M63&gt;I63),"[Structure Violation: E passed C] ",""),IF(AND(E63&lt;G63,M63&lt;I63),"[Structure Violation: E passed C] ",""))</f>
        <v xml:space="preserve">[Structure Violation: E passed C] </v>
      </c>
      <c r="AA78" s="381" t="s">
        <v>94</v>
      </c>
      <c r="AB78" s="382"/>
      <c r="AC78" s="382"/>
      <c r="AD78" s="383"/>
    </row>
    <row r="79" spans="1:35" ht="15.75" thickBot="1" x14ac:dyDescent="0.3">
      <c r="A79" s="12" t="s">
        <v>47</v>
      </c>
      <c r="B79" s="340" t="s">
        <v>74</v>
      </c>
      <c r="C79" s="341">
        <v>1.6180000000000001</v>
      </c>
      <c r="D79" s="342">
        <v>1.786</v>
      </c>
      <c r="E79" s="342">
        <v>1.8859999999999999</v>
      </c>
      <c r="F79" s="343">
        <v>2</v>
      </c>
      <c r="G79" s="191">
        <f>G61*C79</f>
        <v>25.888000000000002</v>
      </c>
      <c r="H79" s="186">
        <f>G61*D79</f>
        <v>28.576000000000001</v>
      </c>
      <c r="I79" s="186">
        <f>G61*E79</f>
        <v>30.175999999999998</v>
      </c>
      <c r="J79" s="344">
        <f>G61*F79</f>
        <v>32</v>
      </c>
      <c r="K79" s="345">
        <f>IF(C79=0,0,IF(K61&gt;G79,K61-G79,G79-K61))</f>
        <v>4.1119999999999983</v>
      </c>
      <c r="L79" s="189">
        <f>IF(D79=0,0,IF(K61&gt;H79,K61-H79,H79-K61))</f>
        <v>1.4239999999999995</v>
      </c>
      <c r="M79" s="189">
        <f>IF(E79=0,0,IF(K61&gt;I79,K61-I79,I79-K61))</f>
        <v>0.17599999999999838</v>
      </c>
      <c r="N79" s="178">
        <f>IF(F79=0,0,IF(K61&gt;J79,K61-J79,J79-K61))</f>
        <v>2</v>
      </c>
      <c r="O79" s="191">
        <f>IF(C79=0,"No Data",G79)</f>
        <v>25.888000000000002</v>
      </c>
      <c r="P79" s="186">
        <f t="shared" ref="P79" si="20">IF(D79=0,"No Data",H79)</f>
        <v>28.576000000000001</v>
      </c>
      <c r="Q79" s="186">
        <f t="shared" si="15"/>
        <v>30.175999999999998</v>
      </c>
      <c r="R79" s="344">
        <f t="shared" si="16"/>
        <v>32</v>
      </c>
      <c r="S79" s="195"/>
      <c r="T79" s="196"/>
      <c r="W79" s="3"/>
      <c r="X79" s="2">
        <v>15</v>
      </c>
      <c r="Y79" s="311" t="s">
        <v>57</v>
      </c>
      <c r="Z79" s="317"/>
      <c r="AA79" s="346"/>
      <c r="AB79" s="347"/>
      <c r="AC79" s="347"/>
      <c r="AD79" s="348"/>
    </row>
    <row r="80" spans="1:35" ht="15.75" thickBot="1" x14ac:dyDescent="0.3">
      <c r="A80" s="12" t="s">
        <v>46</v>
      </c>
      <c r="B80" s="139" t="s">
        <v>6</v>
      </c>
      <c r="C80" s="349">
        <v>1.6180000000000001</v>
      </c>
      <c r="D80" s="350">
        <v>1.786</v>
      </c>
      <c r="E80" s="350">
        <v>1</v>
      </c>
      <c r="F80" s="351"/>
      <c r="G80" s="201">
        <f>E61*C80</f>
        <v>14.562000000000001</v>
      </c>
      <c r="H80" s="202">
        <f>E61*D80</f>
        <v>16.074000000000002</v>
      </c>
      <c r="I80" s="202">
        <f>E61*E80</f>
        <v>9</v>
      </c>
      <c r="J80" s="203">
        <f>E61*F80</f>
        <v>0</v>
      </c>
      <c r="K80" s="204">
        <f>IF(C80=0,0,IF(G61&gt;G80,G61-G80,G80-G61))</f>
        <v>1.4379999999999988</v>
      </c>
      <c r="L80" s="205">
        <f>IF(D80=0,0,IF(G61&gt;H80,G61-H80,H80-G61))</f>
        <v>7.400000000000162E-2</v>
      </c>
      <c r="M80" s="205">
        <f>IF(E80=0,0,IF(G61&gt;I80,G61-I80,I80-G61))</f>
        <v>7</v>
      </c>
      <c r="N80" s="206">
        <f>IF(F80=0,0,IF(G61&gt;J80,G61-J80,J80-G61))</f>
        <v>0</v>
      </c>
      <c r="O80" s="201">
        <f t="shared" si="13"/>
        <v>14.562000000000001</v>
      </c>
      <c r="P80" s="202">
        <f t="shared" si="14"/>
        <v>16.074000000000002</v>
      </c>
      <c r="Q80" s="202">
        <f t="shared" si="15"/>
        <v>9</v>
      </c>
      <c r="R80" s="203" t="str">
        <f t="shared" si="16"/>
        <v>No Data</v>
      </c>
      <c r="S80" s="207"/>
      <c r="T80" s="208"/>
      <c r="W80" s="3"/>
      <c r="Y80" s="352"/>
      <c r="Z80" s="353"/>
      <c r="AA80" s="476"/>
      <c r="AB80" s="476"/>
      <c r="AC80" s="476"/>
      <c r="AD80" s="476"/>
    </row>
    <row r="81" spans="1:29" ht="15.75" thickBot="1" x14ac:dyDescent="0.3">
      <c r="A81" s="12" t="s">
        <v>66</v>
      </c>
      <c r="B81" s="354" t="s">
        <v>6</v>
      </c>
      <c r="C81" s="355"/>
      <c r="D81" s="356"/>
      <c r="E81" s="356"/>
      <c r="F81" s="357"/>
      <c r="G81" s="213">
        <f>E61*C81</f>
        <v>0</v>
      </c>
      <c r="H81" s="214">
        <f>E61*D81</f>
        <v>0</v>
      </c>
      <c r="I81" s="214">
        <f>E61*E81</f>
        <v>0</v>
      </c>
      <c r="J81" s="215">
        <f>E61*F81</f>
        <v>0</v>
      </c>
      <c r="K81" s="216">
        <f>IF(C81=0,0,IF(I61&gt;G81,I61-G81,G81-I61))</f>
        <v>0</v>
      </c>
      <c r="L81" s="217">
        <f>IF(D81=0,0,IF(I61&gt;H81,I61-H81,H81-I61))</f>
        <v>0</v>
      </c>
      <c r="M81" s="217">
        <f>IF(E81=0,0,IF(I61&gt;I81,I61-I81,I81-I61))</f>
        <v>0</v>
      </c>
      <c r="N81" s="218">
        <f>IF(F81=0,0,IF(I61&gt;J81,I61-J81,J81-I61))</f>
        <v>0</v>
      </c>
      <c r="O81" s="213" t="str">
        <f t="shared" si="13"/>
        <v>No Data</v>
      </c>
      <c r="P81" s="214" t="str">
        <f t="shared" si="14"/>
        <v>No Data</v>
      </c>
      <c r="Q81" s="214" t="str">
        <f t="shared" si="15"/>
        <v>No Data</v>
      </c>
      <c r="R81" s="215" t="str">
        <f t="shared" si="16"/>
        <v>No Data</v>
      </c>
      <c r="S81" s="219"/>
      <c r="T81" s="220"/>
      <c r="W81" s="3"/>
    </row>
    <row r="82" spans="1:29" ht="15.75" thickBot="1" x14ac:dyDescent="0.3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226"/>
      <c r="W82" s="3"/>
    </row>
    <row r="83" spans="1:29" ht="15.75" thickBot="1" x14ac:dyDescent="0.3">
      <c r="A83" s="76"/>
      <c r="C83" s="454" t="s">
        <v>53</v>
      </c>
      <c r="D83" s="455"/>
      <c r="E83" s="455"/>
      <c r="F83" s="456"/>
      <c r="G83" s="454" t="s">
        <v>68</v>
      </c>
      <c r="H83" s="455"/>
      <c r="I83" s="456"/>
      <c r="K83" s="223"/>
      <c r="L83" s="224"/>
      <c r="M83" s="224"/>
      <c r="N83" s="224"/>
      <c r="O83" s="224"/>
      <c r="P83" s="225"/>
      <c r="Q83" s="226"/>
      <c r="R83" s="226"/>
      <c r="S83" s="227"/>
      <c r="T83" s="226"/>
      <c r="U83" s="76"/>
      <c r="W83" s="3"/>
    </row>
    <row r="84" spans="1:29" ht="15.75" thickBot="1" x14ac:dyDescent="0.3">
      <c r="A84" s="115" t="s">
        <v>10</v>
      </c>
      <c r="B84" s="116" t="s">
        <v>51</v>
      </c>
      <c r="C84" s="228">
        <v>1</v>
      </c>
      <c r="D84" s="228">
        <v>2</v>
      </c>
      <c r="E84" s="228">
        <v>3</v>
      </c>
      <c r="F84" s="228">
        <v>4</v>
      </c>
      <c r="G84" s="358" t="s">
        <v>69</v>
      </c>
      <c r="H84" s="230" t="s">
        <v>35</v>
      </c>
      <c r="I84" s="230" t="s">
        <v>55</v>
      </c>
      <c r="K84" s="452" t="s">
        <v>134</v>
      </c>
      <c r="L84" s="453"/>
      <c r="M84" s="452" t="s">
        <v>135</v>
      </c>
      <c r="N84" s="453"/>
      <c r="O84" s="452" t="s">
        <v>136</v>
      </c>
      <c r="P84" s="453"/>
      <c r="W84" s="3"/>
    </row>
    <row r="85" spans="1:29" ht="15.75" customHeight="1" thickBot="1" x14ac:dyDescent="0.3">
      <c r="A85" s="125" t="s">
        <v>11</v>
      </c>
      <c r="B85" s="320" t="s">
        <v>6</v>
      </c>
      <c r="C85" s="231">
        <f>IF(C73=0,"No Data",K73/(F66/100))</f>
        <v>0.2157497303128133</v>
      </c>
      <c r="D85" s="232" t="str">
        <f>IF(D73=0,"No Data",L73/(F67/100))</f>
        <v>No Data</v>
      </c>
      <c r="E85" s="233" t="str">
        <f>IF(E73=0,"No Data",M73/(F68/100))</f>
        <v>No Data</v>
      </c>
      <c r="F85" s="232" t="str">
        <f>IF(F73=0,"No Data",N73/(F69/100))</f>
        <v>No Data</v>
      </c>
      <c r="G85" s="234" t="str">
        <f>IF(COUNT(O73:R73)=1,"1Fib",IF(COUNT(O73:R73)&lt;2,"No Data",IF(AND(S73&gt;G63,G63&gt;T73),"Yes","No")))</f>
        <v>1Fib</v>
      </c>
      <c r="H85" s="235">
        <f>IF(COUNTBLANK(C73:F73)=4,"No Data",MIN(C85:F85))</f>
        <v>0.2157497303128133</v>
      </c>
      <c r="I85" s="236"/>
      <c r="K85" s="238" t="str">
        <f>CONCATENATE(IF(L85=1,IF(OR(AND(G85="1Fib",H85&lt;$Z$51),AND(G85="Yes",H85&lt;$Z$51),AND(G85="No",H85&lt;$Z$51)),"Valid","Invalid"),""),IF(L85=2,IF(OR(AND(G85="1Fib",H85&lt;$Z$51),AND(G85="Yes",H85&lt;$Z$51),AND(G85="Yes",H85&gt;$Z$51)),"Valid","Invalid"),""),IF(L85=3,IF(OR(AND(G85="1Fib",H85&lt;$Z$51),AND(G85="Yes",H85&lt;$Z$51),AND(G85="Yes",H85&gt;$Z$51),AND(G85="No",H85&lt;$Z$51)),"Valid","Invalid"),""))</f>
        <v>Valid</v>
      </c>
      <c r="L85" s="342">
        <v>1</v>
      </c>
      <c r="M85" s="238" t="str">
        <f>CONCATENATE(IF(N85=1,IF(OR(AND(G85="1Fib",H85&lt;$Z$51),AND(G85="Yes",H85&lt;$Z$51),AND(G85="No",H85&lt;$Z$51)),"Valid","Invalid"),""),IF(N85=2,IF(OR(AND(G85="1Fib",H85&lt;$Z$51),AND(G85="Yes",H85&lt;$Z$51),AND(G85="Yes",H85&gt;$Z$51)),"Valid","Invalid"),""),IF(N85=3,IF(OR(AND(G85="1Fib",H85&lt;$Z$51),AND(G85="Yes",H85&lt;$Z$51),AND(G85="Yes",H85&gt;$Z$51),AND(G85="No",H85&lt;$Z$51)),"Valid","Invalid"),""))</f>
        <v>Valid</v>
      </c>
      <c r="N85" s="342">
        <v>1</v>
      </c>
      <c r="O85" s="238" t="str">
        <f>CONCATENATE(IF(P85=1,IF(OR(AND(G85="1Fib",H85&lt;$Z$51),AND(G85="Yes",H85&lt;$Z$51),AND(G85="No",H85&lt;$Z$51)),"Valid","Invalid"),""),IF(P85=2,IF(OR(AND(G85="1Fib",H85&lt;$Z$51),AND(G85="Yes",H85&lt;$Z$51),AND(G85="Yes",H85&gt;$Z$51)),"Valid","Invalid"),""),IF(P85=3,IF(OR(AND(G85="1Fib",H85&lt;$Z$51),AND(G85="Yes",H85&lt;$Z$51),AND(G85="Yes",H85&gt;$Z$51),AND(G85="No",H85&lt;$Z$51)),"Valid","Invalid"),""))</f>
        <v>Valid</v>
      </c>
      <c r="P85" s="342">
        <v>3</v>
      </c>
      <c r="Q85" s="242" t="s">
        <v>106</v>
      </c>
      <c r="R85" s="243">
        <f>IF(Z90="Y",I87,MAX(H85, H86, I87))</f>
        <v>0.33927056827821156</v>
      </c>
      <c r="S85" s="372" t="str">
        <f>IF(R91="","Structure approved","Structure fault!")</f>
        <v>Structure approved</v>
      </c>
      <c r="T85" s="373"/>
      <c r="U85" s="374"/>
      <c r="W85" s="3"/>
      <c r="Y85" s="226"/>
      <c r="Z85" s="418" t="s">
        <v>45</v>
      </c>
      <c r="AA85" s="419"/>
      <c r="AB85" s="420"/>
    </row>
    <row r="86" spans="1:29" ht="15.75" customHeight="1" thickBot="1" x14ac:dyDescent="0.3">
      <c r="A86" s="125" t="s">
        <v>12</v>
      </c>
      <c r="B86" s="324" t="s">
        <v>7</v>
      </c>
      <c r="C86" s="244">
        <f>IF(C74=0,"No Data",K74/(H66/100))</f>
        <v>105.88651478703841</v>
      </c>
      <c r="D86" s="245">
        <f>IF(D74=0,"No Data",L74/(H67/100))</f>
        <v>27.263185515612719</v>
      </c>
      <c r="E86" s="246">
        <f>IF(E74=0,"No Data",M74/(H68/100))</f>
        <v>6.1893955023749718E-2</v>
      </c>
      <c r="F86" s="245">
        <f>IF(F74=0,"No Data",N74/(H69/100))</f>
        <v>11.231773534256623</v>
      </c>
      <c r="G86" s="247" t="str">
        <f>IF(COUNT(O74:R74)=1,"1Fib",IF(COUNT(O74:R74)&lt;2,"No Data",IF(AND(S74&gt;I63,I63&gt;T74),"Yes","No")))</f>
        <v>Yes</v>
      </c>
      <c r="H86" s="270">
        <f>IF(COUNTBLANK(C74:F74)=4,"No Data",MIN(C86:F86))</f>
        <v>6.1893955023749718E-2</v>
      </c>
      <c r="I86" s="248"/>
      <c r="K86" s="249" t="str">
        <f>CONCATENATE(IF(L86=1,IF(OR(AND(G86="1Fib",H86&lt;$Z$51),AND(G86="Yes",H86&lt;$Z$51),AND(G86="No",H86&lt;$Z$51)),"Valid","Invalid"),""),IF(L86=2,IF(OR(AND(G86="1Fib",H86&lt;$Z$51),AND(G86="Yes",H86&lt;$Z$51),AND(G86="Yes",H86&gt;$Z$51)),"Valid","Invalid"),""),IF(L86=3,IF(OR(AND(G86="1Fib",H86&lt;$Z$51),AND(G86="Yes",H86&lt;$Z$51),AND(G86="Yes",H86&gt;$Z$51),AND(G86="No",H86&lt;$Z$51)),"Valid","Invalid"),""))</f>
        <v>Valid</v>
      </c>
      <c r="L86" s="342">
        <v>2</v>
      </c>
      <c r="M86" s="249" t="str">
        <f>CONCATENATE(IF(N86=1,IF(OR(AND(G86="1Fib",H86&lt;$Z$51),AND(G86="Yes",H86&lt;$Z$51),AND(G86="No",H86&lt;$Z$51)),"Valid","Invalid"),""),IF(N86=2,IF(OR(AND(G86="1Fib",H86&lt;$Z$51),AND(G86="Yes",H86&lt;$Z$51),AND(G86="Yes",H86&gt;$Z$51)),"Valid","Invalid"),""),IF(N86=3,IF(OR(AND(G86="1Fib",H86&lt;$Z$51),AND(G86="Yes",H86&lt;$Z$51),AND(G86="Yes",H86&gt;$Z$51),AND(G86="No",H86&lt;$Z$51)),"Valid","Invalid"),""))</f>
        <v>Valid</v>
      </c>
      <c r="N86" s="342">
        <v>1</v>
      </c>
      <c r="O86" s="249" t="str">
        <f>CONCATENATE(IF(P86=1,IF(OR(AND(G86="1Fib",H86&lt;$Z$51),AND(G86="Yes",H86&lt;$Z$51),AND(G86="No",H86&lt;$Z$51)),"Valid","Invalid"),""),IF(P86=2,IF(OR(AND(G86="1Fib",H86&lt;$Z$51),AND(G86="Yes",H86&lt;$Z$51),AND(G86="Yes",H86&gt;$Z$51)),"Valid","Invalid"),""),IF(P86=3,IF(OR(AND(G86="1Fib",H86&lt;$Z$51),AND(G86="Yes",H86&lt;$Z$51),AND(G86="Yes",H86&gt;$Z$51),AND(G86="No",H86&lt;$Z$51)),"Valid","Invalid"),""))</f>
        <v>Valid</v>
      </c>
      <c r="P86" s="342">
        <v>3</v>
      </c>
      <c r="Q86" s="250" t="s">
        <v>107</v>
      </c>
      <c r="R86" s="243">
        <f>IF(Z90="Y",I90,MAX(H93,H92,I90))</f>
        <v>0.58324496288440608</v>
      </c>
      <c r="S86" s="375"/>
      <c r="T86" s="376"/>
      <c r="U86" s="377"/>
      <c r="W86" s="3"/>
      <c r="Y86" s="2"/>
      <c r="Z86" s="95" t="s">
        <v>43</v>
      </c>
      <c r="AB86" s="95" t="s">
        <v>44</v>
      </c>
    </row>
    <row r="87" spans="1:29" ht="15.75" customHeight="1" thickBot="1" x14ac:dyDescent="0.3">
      <c r="A87" s="125" t="s">
        <v>13</v>
      </c>
      <c r="B87" s="324" t="s">
        <v>8</v>
      </c>
      <c r="C87" s="251">
        <f>IF(C75=0,"No Data",K75/(J66/100))</f>
        <v>5.6322807927553393</v>
      </c>
      <c r="D87" s="252">
        <f>IF(D75=0,"No Data",L75/(J67/100))</f>
        <v>16.95657529766082</v>
      </c>
      <c r="E87" s="253">
        <f>IF(E75=0,"No Data",M75/(J68/100))</f>
        <v>18.906425812729925</v>
      </c>
      <c r="F87" s="252" t="str">
        <f>IF(F75=0,"No Data",N75/(J69/100))</f>
        <v>No Data</v>
      </c>
      <c r="G87" s="247" t="str">
        <f>IF(COUNT(O75:R75)=1,"1Fib",IF(COUNT(O75:R75)&lt;2,"No Data",IF(AND(S75&gt;K63,K63&gt;T75),"Yes","No")))</f>
        <v>Yes</v>
      </c>
      <c r="H87" s="270">
        <f>IF(COUNTBLANK(C75:F75)=4,"No Data",MIN(C87:F87))</f>
        <v>5.6322807927553393</v>
      </c>
      <c r="I87" s="254">
        <f>MIN(C87:F89)</f>
        <v>0.33927056827821156</v>
      </c>
      <c r="J87" s="2" t="s">
        <v>32</v>
      </c>
      <c r="K87" s="249" t="str">
        <f t="shared" ref="K87:K89" si="21">CONCATENATE(IF(L87=1,IF(OR(AND(G87="1Fib",H87&lt;$Z$51),AND(G87="Yes",H87&lt;$Z$51),AND(G87="No",H87&lt;$Z$51)),"Valid","Invalid"),""),IF(L87=2,IF(OR(AND(G87="1Fib",H87&lt;$Z$51),AND(G87="Yes",H87&lt;$Z$51),AND(G87="Yes",H87&gt;$Z$51)),"Valid","Invalid"),""),IF(L87=3,IF(OR(AND(G87="1Fib",H87&lt;$Z$51),AND(G87="Yes",H87&lt;$Z$51),AND(G87="Yes",H87&gt;$Z$51),AND(G87="No",H87&lt;$Z$51)),"Valid","Invalid"),""))</f>
        <v>Valid</v>
      </c>
      <c r="L87" s="342">
        <v>2</v>
      </c>
      <c r="M87" s="249" t="str">
        <f t="shared" ref="M87:M89" si="22">CONCATENATE(IF(N87=1,IF(OR(AND(G87="1Fib",H87&lt;$Z$51),AND(G87="Yes",H87&lt;$Z$51),AND(G87="No",H87&lt;$Z$51)),"Valid","Invalid"),""),IF(N87=2,IF(OR(AND(G87="1Fib",H87&lt;$Z$51),AND(G87="Yes",H87&lt;$Z$51),AND(G87="Yes",H87&gt;$Z$51)),"Valid","Invalid"),""),IF(N87=3,IF(OR(AND(G87="1Fib",H87&lt;$Z$51),AND(G87="Yes",H87&lt;$Z$51),AND(G87="Yes",H87&gt;$Z$51),AND(G87="No",H87&lt;$Z$51)),"Valid","Invalid"),""))</f>
        <v>Valid</v>
      </c>
      <c r="N87" s="342">
        <v>1</v>
      </c>
      <c r="O87" s="249" t="str">
        <f t="shared" ref="O87:O89" si="23">CONCATENATE(IF(P87=1,IF(OR(AND(G87="1Fib",H87&lt;$Z$51),AND(G87="Yes",H87&lt;$Z$51),AND(G87="No",H87&lt;$Z$51)),"Valid","Invalid"),""),IF(P87=2,IF(OR(AND(G87="1Fib",H87&lt;$Z$51),AND(G87="Yes",H87&lt;$Z$51),AND(G87="Yes",H87&gt;$Z$51)),"Valid","Invalid"),""),IF(P87=3,IF(OR(AND(G87="1Fib",H87&lt;$Z$51),AND(G87="Yes",H87&lt;$Z$51),AND(G87="Yes",H87&gt;$Z$51),AND(G87="No",H87&lt;$Z$51)),"Valid","Invalid"),""))</f>
        <v>Valid</v>
      </c>
      <c r="P87" s="342">
        <v>3</v>
      </c>
      <c r="Q87" s="242" t="s">
        <v>108</v>
      </c>
      <c r="R87" s="243">
        <f>IF(Z90="Y",MAX(H87:H89),MAX(H85,H86,I87,I90,H92,H93))</f>
        <v>0.58324496288440608</v>
      </c>
      <c r="S87" s="375"/>
      <c r="T87" s="376"/>
      <c r="U87" s="377"/>
      <c r="W87" s="3"/>
      <c r="Y87" s="255" t="s">
        <v>28</v>
      </c>
      <c r="Z87" s="256">
        <f>Z51</f>
        <v>8</v>
      </c>
      <c r="AA87" s="2" t="s">
        <v>15</v>
      </c>
      <c r="AB87" s="256">
        <f>AB51</f>
        <v>10</v>
      </c>
      <c r="AC87" s="2" t="s">
        <v>15</v>
      </c>
    </row>
    <row r="88" spans="1:29" ht="15.75" customHeight="1" thickBot="1" x14ac:dyDescent="0.3">
      <c r="A88" s="125" t="s">
        <v>14</v>
      </c>
      <c r="B88" s="324" t="s">
        <v>6</v>
      </c>
      <c r="C88" s="251">
        <f>IF(C76=0,"No Data",K76/(L66/100))</f>
        <v>0.33927056827821156</v>
      </c>
      <c r="D88" s="252" t="str">
        <f>IF(D76=0,"No Data",L76/(L67/100))</f>
        <v>No Data</v>
      </c>
      <c r="E88" s="253" t="str">
        <f>IF(E76=0,"No Data",M76/(L68/100))</f>
        <v>No Data</v>
      </c>
      <c r="F88" s="252" t="str">
        <f>IF(F76=0,"No Data",N76/(L69/100))</f>
        <v>No Data</v>
      </c>
      <c r="G88" s="247" t="str">
        <f>IF(COUNT(O76:R76)=1,"1Fib",IF(COUNT(O76:R76)&lt;2,"No Data",IF(AND(S76&gt;K63,K63&gt;T76),"Yes","No")))</f>
        <v>1Fib</v>
      </c>
      <c r="H88" s="270">
        <f>IF(COUNTBLANK(C76:F76)=4,"No Data",MIN(C88:F88))</f>
        <v>0.33927056827821156</v>
      </c>
      <c r="I88" s="257">
        <f>MAX(O75:R77)-MIN(O75:R77)</f>
        <v>0.14200800000000013</v>
      </c>
      <c r="J88" s="2" t="s">
        <v>40</v>
      </c>
      <c r="K88" s="249" t="str">
        <f t="shared" si="21"/>
        <v>Valid</v>
      </c>
      <c r="L88" s="342">
        <v>1</v>
      </c>
      <c r="M88" s="249" t="str">
        <f t="shared" si="22"/>
        <v>Valid</v>
      </c>
      <c r="N88" s="342">
        <v>1</v>
      </c>
      <c r="O88" s="249" t="str">
        <f t="shared" si="23"/>
        <v>Valid</v>
      </c>
      <c r="P88" s="342">
        <v>3</v>
      </c>
      <c r="Q88" s="242" t="s">
        <v>54</v>
      </c>
      <c r="R88" s="258">
        <f>SUM(H85,H86,I87)/COUNT(H85,H86,I87)</f>
        <v>0.20563808453825819</v>
      </c>
      <c r="S88" s="375"/>
      <c r="T88" s="376"/>
      <c r="U88" s="377"/>
      <c r="W88" s="3"/>
      <c r="Y88" s="95"/>
      <c r="Z88" s="2"/>
      <c r="AA88" s="95"/>
      <c r="AB88" s="95"/>
    </row>
    <row r="89" spans="1:29" ht="15.75" customHeight="1" thickBot="1" x14ac:dyDescent="0.3">
      <c r="A89" s="125" t="s">
        <v>29</v>
      </c>
      <c r="B89" s="331" t="s">
        <v>7</v>
      </c>
      <c r="C89" s="260">
        <f>IF(C77=0,"No Data",K77/(N66/100))</f>
        <v>5.6756756756756488</v>
      </c>
      <c r="D89" s="261">
        <f>IF(D77=0,"No Data",L77/(N67/100))</f>
        <v>16.921638619751853</v>
      </c>
      <c r="E89" s="262" t="str">
        <f>IF(E77=0,"No Data",M77/(N68/100))</f>
        <v>No Data</v>
      </c>
      <c r="F89" s="261" t="str">
        <f>IF(F77=0,"No Data",N77/(N69/100))</f>
        <v>No Data</v>
      </c>
      <c r="G89" s="263" t="str">
        <f>IF(COUNT(O77:R77)=1,"1Fib",IF(COUNT(O77:R77)&lt;2,"No Data",IF(AND(S77&gt;K63,K63&gt;T77),"Yes","No")))</f>
        <v>Yes</v>
      </c>
      <c r="H89" s="264">
        <f>IF(COUNTBLANK(C77:F77)=4,"No Data",MIN(C89:F89))</f>
        <v>5.6756756756756488</v>
      </c>
      <c r="I89" s="265">
        <f>COUNT(C87:F89)</f>
        <v>6</v>
      </c>
      <c r="J89" s="2" t="s">
        <v>41</v>
      </c>
      <c r="K89" s="249" t="str">
        <f t="shared" si="21"/>
        <v>Valid</v>
      </c>
      <c r="L89" s="342">
        <v>1</v>
      </c>
      <c r="M89" s="249" t="str">
        <f t="shared" si="22"/>
        <v>Valid</v>
      </c>
      <c r="N89" s="342">
        <v>1</v>
      </c>
      <c r="O89" s="249" t="str">
        <f t="shared" si="23"/>
        <v>Valid</v>
      </c>
      <c r="P89" s="342">
        <v>3</v>
      </c>
      <c r="Q89" s="250" t="s">
        <v>48</v>
      </c>
      <c r="R89" s="243">
        <f>SUM(I90,H92,H93)/COUNT(I90,H92,H93)</f>
        <v>0.34787191600108053</v>
      </c>
      <c r="S89" s="375"/>
      <c r="T89" s="376"/>
      <c r="U89" s="377"/>
      <c r="W89" s="3"/>
      <c r="Y89" s="2"/>
      <c r="Z89" s="95" t="s">
        <v>38</v>
      </c>
      <c r="AB89" s="95"/>
    </row>
    <row r="90" spans="1:29" ht="16.5" customHeight="1" thickTop="1" thickBot="1" x14ac:dyDescent="0.3">
      <c r="A90" s="12" t="s">
        <v>47</v>
      </c>
      <c r="B90" s="335" t="s">
        <v>6</v>
      </c>
      <c r="C90" s="268">
        <f>IF(C78=0,"No Data",K78/(G78/100))</f>
        <v>27.323656735421455</v>
      </c>
      <c r="D90" s="268">
        <f t="shared" ref="D90:D93" si="24">IF(D78=0,"No Data",L78/(H78/100))</f>
        <v>19.645848289064361</v>
      </c>
      <c r="E90" s="268">
        <f t="shared" ref="E90:E93" si="25">IF(E78=0,"No Data",M78/(I78/100))</f>
        <v>11.111111111111111</v>
      </c>
      <c r="F90" s="268">
        <f t="shared" ref="F90:F93" si="26">IF(F78=0,"No Data",N78/(J78/100))</f>
        <v>11.956330339848559</v>
      </c>
      <c r="G90" s="269"/>
      <c r="H90" s="270">
        <f>IF(COUNTIF(C78:F78,0)=4,"No Data",MIN(C90:F90))</f>
        <v>11.111111111111111</v>
      </c>
      <c r="I90" s="254">
        <f>MIN(C90:F91)</f>
        <v>0.58324496288440608</v>
      </c>
      <c r="K90" s="271">
        <f>COUNTIFS(G85:K89,"Valid")</f>
        <v>5</v>
      </c>
      <c r="L90" s="14"/>
      <c r="M90" s="271">
        <f>COUNTIFS(M85:M89,"Valid")</f>
        <v>5</v>
      </c>
      <c r="N90" s="14"/>
      <c r="O90" s="271">
        <f>COUNTIFS(O85:O89,"Valid")</f>
        <v>5</v>
      </c>
      <c r="P90" s="14"/>
      <c r="Q90" s="250" t="s">
        <v>56</v>
      </c>
      <c r="R90" s="243">
        <f>SUM(H85,H86,I87,I90,H92,H93)/COUNT(H85,H86,I87,I90,H92,H93)</f>
        <v>0.27675500026966932</v>
      </c>
      <c r="S90" s="378"/>
      <c r="T90" s="379"/>
      <c r="U90" s="380"/>
      <c r="W90" s="3"/>
      <c r="Y90" s="255" t="s">
        <v>36</v>
      </c>
      <c r="Z90" s="256" t="s">
        <v>57</v>
      </c>
      <c r="AA90" s="255"/>
      <c r="AB90" s="256"/>
    </row>
    <row r="91" spans="1:29" ht="15.75" customHeight="1" thickBot="1" x14ac:dyDescent="0.3">
      <c r="A91" s="12" t="s">
        <v>47</v>
      </c>
      <c r="B91" s="340" t="s">
        <v>74</v>
      </c>
      <c r="C91" s="273">
        <f t="shared" ref="C91:C93" si="27">IF(C79=0,"No Data",K79/(G79/100))</f>
        <v>15.883807169344864</v>
      </c>
      <c r="D91" s="273">
        <f t="shared" si="24"/>
        <v>4.9832026875699871</v>
      </c>
      <c r="E91" s="273">
        <f t="shared" si="25"/>
        <v>0.58324496288440608</v>
      </c>
      <c r="F91" s="273">
        <f t="shared" si="26"/>
        <v>6.25</v>
      </c>
      <c r="G91" s="269"/>
      <c r="H91" s="235">
        <f>IF(COUNTIF(C79:F79,0)=4,"No Data",MIN(C91:F91))</f>
        <v>0.58324496288440608</v>
      </c>
      <c r="I91" s="235"/>
      <c r="K91" s="439" t="s">
        <v>116</v>
      </c>
      <c r="L91" s="439"/>
      <c r="M91" s="439"/>
      <c r="N91" s="439"/>
      <c r="O91" s="439"/>
      <c r="P91" s="439"/>
      <c r="Q91" s="274"/>
      <c r="R91" s="397" t="str">
        <f>CONCATENATE(IF(Y65="Y",Z65,""),IF(Y66="Y",Z66,""),IF(Y67="Y",Z67,""),IF(Y68="Y",Z68,""),IF(Y69="Y",Z69,""),IF(Y70="Y",Z70,""),IF(Y71="Y",Z71,""),IF(Y72="Y",Z72,""),IF(Y73="Y",Z73,""),IF(Y74="Y",Z74,""),IF(Y75="Y",Z75,""),IF(Y76="Y",Z76,""),IF(Y77="Y",Z77,""),IF(Y78="Y",Z78,""),IF(Y79="Y",Z79,""))</f>
        <v/>
      </c>
      <c r="S91" s="398"/>
      <c r="T91" s="398"/>
      <c r="U91" s="399"/>
      <c r="W91" s="3"/>
      <c r="Y91" s="2"/>
      <c r="Z91" s="2"/>
    </row>
    <row r="92" spans="1:29" ht="15.75" thickBot="1" x14ac:dyDescent="0.3">
      <c r="A92" s="12" t="s">
        <v>46</v>
      </c>
      <c r="B92" s="139" t="s">
        <v>6</v>
      </c>
      <c r="C92" s="273">
        <f t="shared" si="27"/>
        <v>9.8750171679714249</v>
      </c>
      <c r="D92" s="273">
        <f t="shared" si="24"/>
        <v>0.46037078511883545</v>
      </c>
      <c r="E92" s="273">
        <f t="shared" si="25"/>
        <v>77.777777777777786</v>
      </c>
      <c r="F92" s="273" t="str">
        <f t="shared" si="26"/>
        <v>No Data</v>
      </c>
      <c r="G92" s="275"/>
      <c r="H92" s="235">
        <f>IF(COUNTIF(C80:F80,0)=4,"No Data",MIN(C92:F92))</f>
        <v>0.46037078511883545</v>
      </c>
      <c r="I92" s="235"/>
      <c r="K92" s="440" t="s">
        <v>126</v>
      </c>
      <c r="L92" s="440"/>
      <c r="M92" s="440"/>
      <c r="N92" s="440"/>
      <c r="O92" s="440"/>
      <c r="P92" s="440"/>
      <c r="Q92" s="276" t="s">
        <v>34</v>
      </c>
      <c r="R92" s="400"/>
      <c r="S92" s="401"/>
      <c r="T92" s="401"/>
      <c r="U92" s="402"/>
      <c r="W92" s="3"/>
      <c r="Y92" s="2"/>
      <c r="Z92" s="359"/>
    </row>
    <row r="93" spans="1:29" ht="15.75" thickBot="1" x14ac:dyDescent="0.3">
      <c r="A93" s="12" t="s">
        <v>66</v>
      </c>
      <c r="B93" s="354" t="s">
        <v>6</v>
      </c>
      <c r="C93" s="277" t="str">
        <f t="shared" si="27"/>
        <v>No Data</v>
      </c>
      <c r="D93" s="277" t="str">
        <f t="shared" si="24"/>
        <v>No Data</v>
      </c>
      <c r="E93" s="277" t="str">
        <f t="shared" si="25"/>
        <v>No Data</v>
      </c>
      <c r="F93" s="277" t="str">
        <f t="shared" si="26"/>
        <v>No Data</v>
      </c>
      <c r="G93" s="278"/>
      <c r="H93" s="235">
        <f>IF(COUNTIF(C81:F81,0)=4,"No Data",MIN(C93:F93))</f>
        <v>0</v>
      </c>
      <c r="I93" s="235"/>
      <c r="K93" s="440" t="s">
        <v>127</v>
      </c>
      <c r="L93" s="440"/>
      <c r="M93" s="440"/>
      <c r="N93" s="440"/>
      <c r="O93" s="440"/>
      <c r="P93" s="440"/>
      <c r="Q93" s="250"/>
      <c r="R93" s="403"/>
      <c r="S93" s="404"/>
      <c r="T93" s="404"/>
      <c r="U93" s="405"/>
      <c r="W93" s="3"/>
      <c r="Y93" s="2"/>
      <c r="Z93" s="256"/>
      <c r="AA93" s="255"/>
      <c r="AB93" s="256"/>
    </row>
    <row r="94" spans="1:29" x14ac:dyDescent="0.25">
      <c r="I94" s="279"/>
      <c r="J94" s="281"/>
      <c r="K94" s="369"/>
      <c r="L94" s="369"/>
      <c r="M94" s="370"/>
      <c r="N94" s="371"/>
      <c r="O94" s="369"/>
      <c r="P94" s="369"/>
      <c r="W94" s="3"/>
    </row>
    <row r="95" spans="1:29" s="292" customFormat="1" ht="27.75" customHeight="1" x14ac:dyDescent="0.25">
      <c r="A95" s="3"/>
      <c r="B95" s="3"/>
      <c r="C95" s="3"/>
      <c r="D95" s="289"/>
      <c r="E95" s="290"/>
      <c r="F95" s="290"/>
      <c r="G95" s="290"/>
      <c r="M95" s="290"/>
      <c r="N95" s="290"/>
      <c r="O95" s="3"/>
      <c r="P95" s="293"/>
      <c r="Q95" s="294"/>
      <c r="R95" s="295"/>
      <c r="S95" s="295"/>
      <c r="T95" s="3"/>
      <c r="W95" s="3"/>
      <c r="Y95" s="296"/>
      <c r="Z95" s="297"/>
    </row>
    <row r="96" spans="1:29" ht="15.75" thickBot="1" x14ac:dyDescent="0.3">
      <c r="A96" s="78"/>
      <c r="B96" s="78"/>
      <c r="C96" s="78"/>
      <c r="D96" s="298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78"/>
      <c r="P96" s="78"/>
      <c r="Q96" s="78"/>
      <c r="R96" s="78"/>
      <c r="S96" s="78"/>
      <c r="W96" s="3"/>
    </row>
    <row r="97" spans="1:30" s="89" customFormat="1" ht="17.25" customHeight="1" thickBot="1" x14ac:dyDescent="0.3">
      <c r="A97" s="82"/>
      <c r="B97" s="299" t="s">
        <v>95</v>
      </c>
      <c r="C97" s="425">
        <f>C61</f>
        <v>0</v>
      </c>
      <c r="D97" s="426"/>
      <c r="E97" s="425">
        <f>E61</f>
        <v>9</v>
      </c>
      <c r="F97" s="426"/>
      <c r="G97" s="425">
        <f>G61</f>
        <v>16</v>
      </c>
      <c r="H97" s="426"/>
      <c r="I97" s="425">
        <f>I61</f>
        <v>23</v>
      </c>
      <c r="J97" s="426"/>
      <c r="K97" s="425">
        <f>K61</f>
        <v>30</v>
      </c>
      <c r="L97" s="426"/>
      <c r="M97" s="425">
        <f>M61</f>
        <v>33</v>
      </c>
      <c r="N97" s="426"/>
      <c r="O97" s="395"/>
      <c r="P97" s="395"/>
      <c r="Q97" s="395"/>
      <c r="R97" s="395"/>
      <c r="S97" s="395"/>
      <c r="T97" s="395"/>
      <c r="U97" s="395"/>
      <c r="V97" s="395"/>
      <c r="W97" s="3"/>
      <c r="Y97" s="4"/>
      <c r="Z97" s="5"/>
    </row>
    <row r="98" spans="1:30" ht="34.5" thickBot="1" x14ac:dyDescent="0.3">
      <c r="A98" s="300" t="s">
        <v>22</v>
      </c>
      <c r="B98" s="360">
        <v>2</v>
      </c>
      <c r="C98" s="421" t="s">
        <v>5</v>
      </c>
      <c r="D98" s="422"/>
      <c r="E98" s="421" t="s">
        <v>1</v>
      </c>
      <c r="F98" s="422"/>
      <c r="G98" s="421" t="s">
        <v>2</v>
      </c>
      <c r="H98" s="422"/>
      <c r="I98" s="421" t="s">
        <v>3</v>
      </c>
      <c r="J98" s="422"/>
      <c r="K98" s="421" t="s">
        <v>4</v>
      </c>
      <c r="L98" s="422"/>
      <c r="M98" s="421" t="s">
        <v>93</v>
      </c>
      <c r="N98" s="422"/>
      <c r="O98" s="396"/>
      <c r="P98" s="396"/>
      <c r="Q98" s="396"/>
      <c r="R98" s="396"/>
      <c r="S98" s="396"/>
      <c r="T98" s="396"/>
      <c r="U98" s="396"/>
      <c r="V98" s="396"/>
      <c r="W98" s="3"/>
      <c r="X98" s="302" t="str">
        <f>A98</f>
        <v>Bat</v>
      </c>
      <c r="Y98" s="361"/>
      <c r="Z98" s="362"/>
    </row>
    <row r="99" spans="1:30" ht="16.5" customHeight="1" thickBot="1" x14ac:dyDescent="0.3">
      <c r="A99" s="90"/>
      <c r="B99" s="91" t="s">
        <v>96</v>
      </c>
      <c r="C99" s="447">
        <f>C63</f>
        <v>1.8</v>
      </c>
      <c r="D99" s="448"/>
      <c r="E99" s="447">
        <f>E63</f>
        <v>1.2</v>
      </c>
      <c r="F99" s="448"/>
      <c r="G99" s="447">
        <f>G63</f>
        <v>1.57</v>
      </c>
      <c r="H99" s="448"/>
      <c r="I99" s="447">
        <f>I63</f>
        <v>1.2789999999999999</v>
      </c>
      <c r="J99" s="448"/>
      <c r="K99" s="447">
        <f>K63</f>
        <v>1.67</v>
      </c>
      <c r="L99" s="448"/>
      <c r="M99" s="447">
        <f>M63</f>
        <v>0</v>
      </c>
      <c r="N99" s="448"/>
      <c r="O99" s="394"/>
      <c r="P99" s="394"/>
      <c r="Q99" s="394"/>
      <c r="R99" s="394"/>
      <c r="S99" s="394"/>
      <c r="T99" s="394"/>
      <c r="U99" s="394"/>
      <c r="V99" s="394"/>
      <c r="W99" s="3"/>
    </row>
    <row r="100" spans="1:30" ht="34.5" thickBot="1" x14ac:dyDescent="0.3">
      <c r="A100" s="92"/>
      <c r="B100" s="92"/>
      <c r="C100" s="93" t="s">
        <v>16</v>
      </c>
      <c r="D100" s="430" t="s">
        <v>6</v>
      </c>
      <c r="E100" s="431"/>
      <c r="F100" s="430" t="s">
        <v>7</v>
      </c>
      <c r="G100" s="431"/>
      <c r="H100" s="430" t="s">
        <v>8</v>
      </c>
      <c r="I100" s="431"/>
      <c r="J100" s="430" t="s">
        <v>9</v>
      </c>
      <c r="K100" s="431"/>
      <c r="L100" s="449" t="s">
        <v>30</v>
      </c>
      <c r="M100" s="393"/>
      <c r="N100" s="449" t="s">
        <v>31</v>
      </c>
      <c r="O100" s="393"/>
      <c r="P100" s="304"/>
      <c r="Q100" s="78"/>
      <c r="R100" s="78"/>
      <c r="W100" s="3"/>
      <c r="Y100" s="305" t="s">
        <v>36</v>
      </c>
      <c r="Z100" s="230" t="s">
        <v>71</v>
      </c>
      <c r="AA100" s="306" t="s">
        <v>80</v>
      </c>
      <c r="AB100" s="307"/>
      <c r="AC100" s="307"/>
      <c r="AD100" s="308"/>
    </row>
    <row r="101" spans="1:30" ht="15.75" thickBot="1" x14ac:dyDescent="0.3">
      <c r="A101" s="441"/>
      <c r="B101" s="442"/>
      <c r="C101" s="93" t="s">
        <v>33</v>
      </c>
      <c r="D101" s="423">
        <f>IF(C99&lt;E99,E99-C99,C99-E99)</f>
        <v>0.60000000000000009</v>
      </c>
      <c r="E101" s="424"/>
      <c r="F101" s="423">
        <f>IF(G99&lt;E99,E99-G99,G99-E99)</f>
        <v>0.37000000000000011</v>
      </c>
      <c r="G101" s="424"/>
      <c r="H101" s="423">
        <f>IF(I99&lt;G99,G99-I99,I99-G99)</f>
        <v>0.29100000000000015</v>
      </c>
      <c r="I101" s="424"/>
      <c r="J101" s="423">
        <f>IF(K99&lt;I99,I99-K99,K99-I99)</f>
        <v>0.39100000000000001</v>
      </c>
      <c r="K101" s="424"/>
      <c r="L101" s="423">
        <f>IF(C99&lt;E99,E99-C99,C99-E99)</f>
        <v>0.60000000000000009</v>
      </c>
      <c r="M101" s="424"/>
      <c r="N101" s="423">
        <f>IF(E99&lt;G99,G99-E99,E99-G99)</f>
        <v>0.37000000000000011</v>
      </c>
      <c r="O101" s="424"/>
      <c r="P101" s="78"/>
      <c r="Q101" s="76"/>
      <c r="R101" s="76"/>
      <c r="W101" s="3"/>
      <c r="X101" s="2">
        <v>1</v>
      </c>
      <c r="Y101" s="311" t="s">
        <v>70</v>
      </c>
      <c r="Z101" s="312" t="str">
        <f>IF(R121&gt;Z123,CONCATENATE("[Weak Structure: More than ",Z123," % Price deviation]"),"")</f>
        <v>[Weak Structure: More than 8 % Price deviation]</v>
      </c>
      <c r="AA101" s="381" t="s">
        <v>72</v>
      </c>
      <c r="AB101" s="382"/>
      <c r="AC101" s="382"/>
      <c r="AD101" s="383"/>
    </row>
    <row r="102" spans="1:30" ht="15.75" thickBot="1" x14ac:dyDescent="0.3">
      <c r="A102" s="443"/>
      <c r="B102" s="444"/>
      <c r="C102" s="93" t="s">
        <v>18</v>
      </c>
      <c r="D102" s="437" t="s">
        <v>17</v>
      </c>
      <c r="E102" s="438"/>
      <c r="F102" s="437">
        <f>IF(C109&gt;0,(D101*C109),"No Data")</f>
        <v>0.22920000000000004</v>
      </c>
      <c r="G102" s="438"/>
      <c r="H102" s="437">
        <f>IF(C110&gt;0,(F101*C110),"No Data")</f>
        <v>0.14134000000000005</v>
      </c>
      <c r="I102" s="438"/>
      <c r="J102" s="437">
        <f>IF(C111&gt;0,(H101*C111),"No Data")</f>
        <v>0.47083800000000026</v>
      </c>
      <c r="K102" s="438"/>
      <c r="L102" s="437">
        <f>IF(C112&gt;0,(L101*C112),"No Data")</f>
        <v>0.53160000000000007</v>
      </c>
      <c r="M102" s="438"/>
      <c r="N102" s="437">
        <f>IF(C113&gt;0,(N101*C113),"No Data")</f>
        <v>0.29082000000000008</v>
      </c>
      <c r="O102" s="438"/>
      <c r="P102" s="314"/>
      <c r="Q102" s="76"/>
      <c r="R102" s="76"/>
      <c r="W102" s="3"/>
      <c r="X102" s="2">
        <v>2</v>
      </c>
      <c r="Y102" s="311" t="s">
        <v>70</v>
      </c>
      <c r="Z102" s="312" t="str">
        <f>IF(R122&gt;AB123,CONCATENATE("[Weak Structure: More than ",AB123," % Time deviation]"),"")</f>
        <v/>
      </c>
      <c r="AA102" s="381" t="s">
        <v>73</v>
      </c>
      <c r="AB102" s="382"/>
      <c r="AC102" s="382"/>
      <c r="AD102" s="383"/>
    </row>
    <row r="103" spans="1:30" ht="15.75" thickBot="1" x14ac:dyDescent="0.3">
      <c r="A103" s="443"/>
      <c r="B103" s="444"/>
      <c r="C103" s="93" t="s">
        <v>19</v>
      </c>
      <c r="D103" s="437" t="s">
        <v>17</v>
      </c>
      <c r="E103" s="438"/>
      <c r="F103" s="437">
        <f>IF(D109&gt;0,(D101*D109),"No Data")</f>
        <v>0.30000000000000004</v>
      </c>
      <c r="G103" s="438"/>
      <c r="H103" s="437">
        <f>IF(D110&gt;0,(F101*D110),"No Data")</f>
        <v>0.32782000000000011</v>
      </c>
      <c r="I103" s="438"/>
      <c r="J103" s="437">
        <f>IF(D111&gt;0,(H101*D111),"No Data")</f>
        <v>0.58200000000000029</v>
      </c>
      <c r="K103" s="438"/>
      <c r="L103" s="437" t="str">
        <f>IF(D112&gt;0,(L101*D112),"No Data")</f>
        <v>No Data</v>
      </c>
      <c r="M103" s="438"/>
      <c r="N103" s="437">
        <f>IF(D113&gt;0,(N101*D113),"No Data")</f>
        <v>0.37000000000000011</v>
      </c>
      <c r="O103" s="438"/>
      <c r="P103" s="314"/>
      <c r="Q103" s="76"/>
      <c r="R103" s="76"/>
      <c r="W103" s="3"/>
      <c r="X103" s="2">
        <v>3</v>
      </c>
      <c r="Y103" s="311"/>
      <c r="Z103" s="315"/>
      <c r="AA103" s="381"/>
      <c r="AB103" s="382"/>
      <c r="AC103" s="382"/>
      <c r="AD103" s="383"/>
    </row>
    <row r="104" spans="1:30" ht="15.75" thickBot="1" x14ac:dyDescent="0.3">
      <c r="A104" s="443"/>
      <c r="B104" s="444"/>
      <c r="C104" s="93" t="s">
        <v>20</v>
      </c>
      <c r="D104" s="437" t="s">
        <v>17</v>
      </c>
      <c r="E104" s="438"/>
      <c r="F104" s="437" t="str">
        <f>IF(E109&gt;0,(D101*E109),"No Data")</f>
        <v>No Data</v>
      </c>
      <c r="G104" s="438"/>
      <c r="H104" s="437" t="str">
        <f>IF(E110&gt;0,(F101*E110),"No Data")</f>
        <v>No Data</v>
      </c>
      <c r="I104" s="438"/>
      <c r="J104" s="437">
        <f>IF(E111&gt;0,(H101*E111),"No Data")</f>
        <v>0.76183800000000035</v>
      </c>
      <c r="K104" s="438"/>
      <c r="L104" s="437" t="str">
        <f>IF(E112&gt;0,(L101*E112),"No Data")</f>
        <v>No Data</v>
      </c>
      <c r="M104" s="438"/>
      <c r="N104" s="437">
        <f>IF(E113&gt;0,(N101*E113),"No Data")</f>
        <v>0.47064000000000017</v>
      </c>
      <c r="O104" s="438"/>
      <c r="P104" s="314"/>
      <c r="Q104" s="76"/>
      <c r="R104" s="76"/>
      <c r="W104" s="3"/>
      <c r="X104" s="2">
        <v>4</v>
      </c>
      <c r="Y104" s="311"/>
      <c r="Z104" s="317"/>
      <c r="AA104" s="381"/>
      <c r="AB104" s="382"/>
      <c r="AC104" s="382"/>
      <c r="AD104" s="383"/>
    </row>
    <row r="105" spans="1:30" ht="15.75" thickBot="1" x14ac:dyDescent="0.3">
      <c r="A105" s="445"/>
      <c r="B105" s="446"/>
      <c r="C105" s="93" t="s">
        <v>21</v>
      </c>
      <c r="D105" s="437" t="s">
        <v>17</v>
      </c>
      <c r="E105" s="438"/>
      <c r="F105" s="437" t="str">
        <f>IF(F109&gt;0,(D101*F109),"No Data")</f>
        <v>No Data</v>
      </c>
      <c r="G105" s="438"/>
      <c r="H105" s="437" t="str">
        <f>IF(F110&gt;0,(F101*F110),"No Data")</f>
        <v>No Data</v>
      </c>
      <c r="I105" s="438"/>
      <c r="J105" s="437" t="str">
        <f>IF(F111&gt;0,(H101*F111),"No Data")</f>
        <v>No Data</v>
      </c>
      <c r="K105" s="438"/>
      <c r="L105" s="437" t="str">
        <f>IF(F112&gt;0,(L101*F112),"No Data")</f>
        <v>No Data</v>
      </c>
      <c r="M105" s="438"/>
      <c r="N105" s="437">
        <f>IF(F113&gt;0,(N101*F113),"No Data")</f>
        <v>0.59866000000000019</v>
      </c>
      <c r="O105" s="438"/>
      <c r="P105" s="314"/>
      <c r="Q105" s="76"/>
      <c r="R105" s="76"/>
      <c r="W105" s="3"/>
      <c r="X105" s="2">
        <v>5</v>
      </c>
      <c r="Y105" s="311" t="s">
        <v>70</v>
      </c>
      <c r="Z105" s="312" t="str">
        <f>IF(C99&gt;E99,IF(AND(C99&gt;E99,E99&lt;G99,G99&gt;I99,I99&lt;K99),"","[No Structure found] "),IF(AND(C99&lt;E99,E99&gt;G99,G99&lt;I99,I99&gt;K99),"","[No Structure found] "))</f>
        <v/>
      </c>
      <c r="AA105" s="381" t="s">
        <v>81</v>
      </c>
      <c r="AB105" s="382"/>
      <c r="AC105" s="382"/>
      <c r="AD105" s="383"/>
    </row>
    <row r="106" spans="1:30" ht="19.5" thickBot="1" x14ac:dyDescent="0.3">
      <c r="A106" s="432" t="str">
        <f>CONCATENATE(IF(C99&gt;E99,"Bearish",""),(IF(C99&lt;E99,"Bullish","")))</f>
        <v>Bearish</v>
      </c>
      <c r="B106" s="433"/>
      <c r="N106" s="114"/>
      <c r="W106" s="3"/>
      <c r="X106" s="2">
        <v>6</v>
      </c>
      <c r="Y106" s="311" t="s">
        <v>70</v>
      </c>
      <c r="Z106" s="312" t="str">
        <f>CONCATENATE(IF(AND(C99&gt;E99,K99&gt;C99),"[Structure Violation: D passed X] ",""),IF(AND(C99&lt;E99,K99&lt;C99),"[Structure Violation: D passed X] ",""))</f>
        <v/>
      </c>
      <c r="AA106" s="381" t="s">
        <v>83</v>
      </c>
      <c r="AB106" s="382"/>
      <c r="AC106" s="382"/>
      <c r="AD106" s="383"/>
    </row>
    <row r="107" spans="1:30" ht="15.75" thickBot="1" x14ac:dyDescent="0.3">
      <c r="C107" s="418" t="s">
        <v>50</v>
      </c>
      <c r="D107" s="419"/>
      <c r="E107" s="419"/>
      <c r="F107" s="420"/>
      <c r="G107" s="427" t="s">
        <v>49</v>
      </c>
      <c r="H107" s="428"/>
      <c r="I107" s="428"/>
      <c r="J107" s="429"/>
      <c r="K107" s="427" t="s">
        <v>52</v>
      </c>
      <c r="L107" s="428"/>
      <c r="M107" s="428"/>
      <c r="N107" s="428"/>
      <c r="O107" s="427" t="s">
        <v>67</v>
      </c>
      <c r="P107" s="428"/>
      <c r="Q107" s="428"/>
      <c r="R107" s="429"/>
      <c r="S107" s="384" t="s">
        <v>65</v>
      </c>
      <c r="T107" s="385"/>
      <c r="W107" s="3"/>
      <c r="X107" s="2">
        <v>7</v>
      </c>
      <c r="Y107" s="311" t="s">
        <v>70</v>
      </c>
      <c r="Z107" s="318" t="str">
        <f>CONCATENATE(IF(AND(C99&gt;E99,I99&lt;E99),"[Structure Violation: C passed A] ",""),IF(AND(C99&lt;E99,I99&gt;E99),"[Structure Violation: C passed A] ",""))</f>
        <v/>
      </c>
      <c r="AA107" s="381" t="s">
        <v>84</v>
      </c>
      <c r="AB107" s="382"/>
      <c r="AC107" s="382"/>
      <c r="AD107" s="383"/>
    </row>
    <row r="108" spans="1:30" ht="15.75" thickBot="1" x14ac:dyDescent="0.3">
      <c r="A108" s="115" t="s">
        <v>10</v>
      </c>
      <c r="B108" s="116" t="s">
        <v>51</v>
      </c>
      <c r="C108" s="319">
        <v>1</v>
      </c>
      <c r="D108" s="319">
        <v>2</v>
      </c>
      <c r="E108" s="319">
        <v>3</v>
      </c>
      <c r="F108" s="319">
        <v>4</v>
      </c>
      <c r="G108" s="118">
        <v>1</v>
      </c>
      <c r="H108" s="118">
        <v>2</v>
      </c>
      <c r="I108" s="118">
        <v>3</v>
      </c>
      <c r="J108" s="118">
        <v>4</v>
      </c>
      <c r="K108" s="119">
        <v>1</v>
      </c>
      <c r="L108" s="119">
        <v>2</v>
      </c>
      <c r="M108" s="119">
        <v>3</v>
      </c>
      <c r="N108" s="120">
        <v>4</v>
      </c>
      <c r="O108" s="118">
        <v>1</v>
      </c>
      <c r="P108" s="119">
        <v>2</v>
      </c>
      <c r="Q108" s="118">
        <v>3</v>
      </c>
      <c r="R108" s="119">
        <v>4</v>
      </c>
      <c r="S108" s="121" t="s">
        <v>63</v>
      </c>
      <c r="T108" s="122" t="s">
        <v>64</v>
      </c>
      <c r="W108" s="3"/>
      <c r="X108" s="2">
        <v>8</v>
      </c>
      <c r="Y108" s="311" t="s">
        <v>70</v>
      </c>
      <c r="Z108" s="312" t="str">
        <f>CONCATENATE(IF(AND(C99&gt;E99,G99&gt;C99),"[Structure Violaton: B passed X] ",""),IF(AND(C99&lt;E99,G99&lt;C99),"[Structure Violation: B passed X] ",""))</f>
        <v/>
      </c>
      <c r="AA108" s="381" t="s">
        <v>85</v>
      </c>
      <c r="AB108" s="382"/>
      <c r="AC108" s="382"/>
      <c r="AD108" s="383"/>
    </row>
    <row r="109" spans="1:30" ht="15.75" thickBot="1" x14ac:dyDescent="0.3">
      <c r="A109" s="125" t="s">
        <v>11</v>
      </c>
      <c r="B109" s="320" t="s">
        <v>6</v>
      </c>
      <c r="C109" s="321">
        <v>0.38200000000000001</v>
      </c>
      <c r="D109" s="322">
        <v>0.5</v>
      </c>
      <c r="E109" s="322"/>
      <c r="F109" s="323"/>
      <c r="G109" s="130">
        <f>IF(C99&gt;E99,IF(C109&gt;0,E99+(D101*C109),0),IF(C109&gt;0,E99-(D101*C109),0))</f>
        <v>1.4292</v>
      </c>
      <c r="H109" s="131">
        <f>IF(C99&gt;E99,IF(D109&gt;0,E99+(D101*D109),0),IF(D109&gt;0,E99-(D101*D109),0))</f>
        <v>1.5</v>
      </c>
      <c r="I109" s="131">
        <f>IF(C99&gt;E99,IF(E109&gt;0,E99+(D101*E109),0),IF(E109&gt;0,E99-(D101*E109),0))</f>
        <v>0</v>
      </c>
      <c r="J109" s="131">
        <f>IF(C99&gt;E99,IF(F109&gt;0,E99+(D101*F109),0),IF(F109&gt;0,E99-(D101*F109),0))</f>
        <v>0</v>
      </c>
      <c r="K109" s="133">
        <f>IF(C109&gt;0,IF(G109&lt;G99,G99-G109,G109-G99),0)</f>
        <v>0.14080000000000004</v>
      </c>
      <c r="L109" s="134">
        <f>IF(D109&gt;0,IF(H109&lt;G99,G99-H109,H109-G99),0)</f>
        <v>7.0000000000000062E-2</v>
      </c>
      <c r="M109" s="134">
        <f>IF(E109&gt;0,IF(I109&lt;G99,G99-I109,I109-G99),0)</f>
        <v>0</v>
      </c>
      <c r="N109" s="135">
        <f>IF(F109&gt;0,IF(J109&lt;G99,G99-J109,J109-G99),0)</f>
        <v>0</v>
      </c>
      <c r="O109" s="130">
        <f t="shared" ref="O109:O111" si="28">IF(C109=0,"No Data",G109)</f>
        <v>1.4292</v>
      </c>
      <c r="P109" s="131">
        <f t="shared" ref="P109:P111" si="29">IF(D109=0,"No Data",H109)</f>
        <v>1.5</v>
      </c>
      <c r="Q109" s="131" t="str">
        <f t="shared" ref="Q109:Q117" si="30">IF(E109=0,"No Data",I109)</f>
        <v>No Data</v>
      </c>
      <c r="R109" s="132" t="str">
        <f t="shared" ref="R109:R111" si="31">IF(F109=0,"No Data",J109)</f>
        <v>No Data</v>
      </c>
      <c r="S109" s="136">
        <f t="shared" ref="S109:S113" si="32">MAX(O109:R109)</f>
        <v>1.5</v>
      </c>
      <c r="T109" s="137">
        <f t="shared" ref="T109:T110" si="33">MIN(O109:R109)</f>
        <v>1.4292</v>
      </c>
      <c r="W109" s="3"/>
      <c r="X109" s="2">
        <v>9</v>
      </c>
      <c r="Y109" s="311" t="s">
        <v>57</v>
      </c>
      <c r="Z109" s="312" t="str">
        <f>CONCATENATE(IF(AND(C99&gt;E99,I99&gt;E99),"[Structure Violation: C above A] ",""),IF(AND(C99&lt;E99,I99&lt;E99),"[Structure Violation: C below A] ",""))</f>
        <v xml:space="preserve">[Structure Violation: C above A] </v>
      </c>
      <c r="AA109" s="381" t="s">
        <v>86</v>
      </c>
      <c r="AB109" s="382"/>
      <c r="AC109" s="382"/>
      <c r="AD109" s="383"/>
    </row>
    <row r="110" spans="1:30" ht="15.75" thickBot="1" x14ac:dyDescent="0.3">
      <c r="A110" s="125" t="s">
        <v>12</v>
      </c>
      <c r="B110" s="324" t="s">
        <v>7</v>
      </c>
      <c r="C110" s="325">
        <v>0.38200000000000001</v>
      </c>
      <c r="D110" s="326">
        <v>0.88600000000000001</v>
      </c>
      <c r="E110" s="326"/>
      <c r="F110" s="327"/>
      <c r="G110" s="143">
        <f>IF(C99&gt;E99,IF(C110&gt;0,G99-(F101*C110),0),IF(C110&gt;0,G99+(F101*C110),0))</f>
        <v>1.42866</v>
      </c>
      <c r="H110" s="144">
        <f>IF(C99&gt;E99,IF(D110&gt;0,G99-(F101*D110),0),IF(D110&gt;0,G99+(F101*D110),0))</f>
        <v>1.2421799999999998</v>
      </c>
      <c r="I110" s="144">
        <f>IF(C99&gt;E99,IF(E110&gt;0,G99-(F101*E110),0),IF(E110&gt;0,G99+(F101*E110),0))</f>
        <v>0</v>
      </c>
      <c r="J110" s="328">
        <f>IF(C99&gt;E99,IF(F110&gt;0,G99-(F101*F110),0),IF(F110&gt;0,G99+(F101*F110),0))</f>
        <v>0</v>
      </c>
      <c r="K110" s="146">
        <f>IF(C110&gt;0,IF(G110&lt;I99,I99-G110,G110-I99),0)</f>
        <v>0.14966000000000013</v>
      </c>
      <c r="L110" s="147">
        <f>IF(D110&gt;0,IF(H110&lt;I99,I99-H110,H110-I99),0)</f>
        <v>3.6820000000000075E-2</v>
      </c>
      <c r="M110" s="147">
        <f>IF(E110&gt;0,IF(I110&lt;I99,I99-I110,I110-I99),0)</f>
        <v>0</v>
      </c>
      <c r="N110" s="148">
        <f>IF(F110&gt;0,IF(J110&lt;I99,I99-J110,J110-I99),0)</f>
        <v>0</v>
      </c>
      <c r="O110" s="143">
        <f t="shared" si="28"/>
        <v>1.42866</v>
      </c>
      <c r="P110" s="144">
        <f t="shared" si="29"/>
        <v>1.2421799999999998</v>
      </c>
      <c r="Q110" s="144" t="str">
        <f t="shared" si="30"/>
        <v>No Data</v>
      </c>
      <c r="R110" s="145" t="str">
        <f t="shared" si="31"/>
        <v>No Data</v>
      </c>
      <c r="S110" s="149">
        <f t="shared" si="32"/>
        <v>1.42866</v>
      </c>
      <c r="T110" s="150">
        <f t="shared" si="33"/>
        <v>1.2421799999999998</v>
      </c>
      <c r="W110" s="3"/>
      <c r="X110" s="2">
        <v>10</v>
      </c>
      <c r="Y110" s="311" t="s">
        <v>70</v>
      </c>
      <c r="Z110" s="318" t="str">
        <f>CONCATENATE(IF(AND(C99&gt;E99,G99&gt;K99),"[Structure Violation: B above D] ",""),IF(AND(C99&lt;E99,G99&lt;K99),"[Structure Violation: B below D] ",""))</f>
        <v/>
      </c>
      <c r="AA110" s="381" t="s">
        <v>87</v>
      </c>
      <c r="AB110" s="382"/>
      <c r="AC110" s="382"/>
      <c r="AD110" s="383"/>
    </row>
    <row r="111" spans="1:30" ht="15.75" thickBot="1" x14ac:dyDescent="0.3">
      <c r="A111" s="125" t="s">
        <v>13</v>
      </c>
      <c r="B111" s="324" t="s">
        <v>8</v>
      </c>
      <c r="C111" s="325">
        <v>1.6180000000000001</v>
      </c>
      <c r="D111" s="326">
        <v>2</v>
      </c>
      <c r="E111" s="326">
        <v>2.6179999999999999</v>
      </c>
      <c r="F111" s="327"/>
      <c r="G111" s="143">
        <f>IF(C99&gt;E99,IF(C111&gt;0,I99+(H101*C111),0),IF(C111&gt;0,I99-(H101*C111),0))</f>
        <v>1.7498380000000002</v>
      </c>
      <c r="H111" s="144">
        <f>IF(C99&gt;E99,IF(D111&gt;0,I99+(H101*D111),0),IF(D111&gt;0,I99-(H101*D111),0))</f>
        <v>1.8610000000000002</v>
      </c>
      <c r="I111" s="144">
        <f>IF(C99&gt;E99,IF(E111&gt;0,I99+(H101*E111),0),IF(E111&gt;0,I99-(H101*E111),0))</f>
        <v>2.0408380000000004</v>
      </c>
      <c r="J111" s="328">
        <f>IF(C99&gt;E99,IF(F111&gt;0,I99+(H101*F111),0),IF(F111&gt;0,I99-(H101*F111),0))</f>
        <v>0</v>
      </c>
      <c r="K111" s="146">
        <f>IF(C111&gt;0,IF(G111&lt;K99,K99-G111,G111-K99),0)</f>
        <v>7.9838000000000298E-2</v>
      </c>
      <c r="L111" s="147">
        <f>IF(D111&gt;0,IF(H111&lt;K99,K99-H111,H111-K99),0)</f>
        <v>0.19100000000000028</v>
      </c>
      <c r="M111" s="147">
        <f>IF(E111&gt;0,IF(I111&lt;K99,K99-I111,I111-K99),0)</f>
        <v>0.37083800000000045</v>
      </c>
      <c r="N111" s="148">
        <f>IF(F111&gt;0,IF(J111&lt;K99,K99-J111,J111-K99),0)</f>
        <v>0</v>
      </c>
      <c r="O111" s="143">
        <f t="shared" si="28"/>
        <v>1.7498380000000002</v>
      </c>
      <c r="P111" s="144">
        <f t="shared" si="29"/>
        <v>1.8610000000000002</v>
      </c>
      <c r="Q111" s="144">
        <f t="shared" si="30"/>
        <v>2.0408380000000004</v>
      </c>
      <c r="R111" s="145" t="str">
        <f t="shared" si="31"/>
        <v>No Data</v>
      </c>
      <c r="S111" s="151">
        <f t="shared" si="32"/>
        <v>2.0408380000000004</v>
      </c>
      <c r="T111" s="150">
        <f>MIN(O111:R111)</f>
        <v>1.7498380000000002</v>
      </c>
      <c r="W111" s="3"/>
      <c r="X111" s="2">
        <v>11</v>
      </c>
      <c r="Y111" s="311" t="s">
        <v>57</v>
      </c>
      <c r="Z111" s="312" t="str">
        <f>CONCATENATE(IF(AND(C99&gt;E99,K99&lt;C99),"[Structure Violation: D below X] ",""),IF(AND(C99&lt;E99,K99&gt;C99),"[Structure Violation: D above X] ",""))</f>
        <v xml:space="preserve">[Structure Violation: D below X] </v>
      </c>
      <c r="AA111" s="381" t="s">
        <v>88</v>
      </c>
      <c r="AB111" s="382"/>
      <c r="AC111" s="382"/>
      <c r="AD111" s="383"/>
    </row>
    <row r="112" spans="1:30" ht="15.75" thickBot="1" x14ac:dyDescent="0.3">
      <c r="A112" s="125" t="s">
        <v>14</v>
      </c>
      <c r="B112" s="324" t="s">
        <v>6</v>
      </c>
      <c r="C112" s="325">
        <v>0.88600000000000001</v>
      </c>
      <c r="D112" s="326"/>
      <c r="E112" s="326"/>
      <c r="F112" s="327"/>
      <c r="G112" s="152">
        <f>IF(C99&gt;E99,IF(C112&gt;0,E99+(D101*C112),0),IF(C112&gt;0,E99-(D101*C112),0))</f>
        <v>1.7316</v>
      </c>
      <c r="H112" s="144">
        <f>IF(C99&gt;E99,IF(D112&gt;0,E99+(D101*D112),0),IF(D112&gt;0,E99-(D101*D112),0))</f>
        <v>0</v>
      </c>
      <c r="I112" s="144">
        <f>IF(C99&gt;E99,IF(E112&gt;0,E99+(D101*E112),0),IF(E112&gt;0,E99-(D101*E112),0))</f>
        <v>0</v>
      </c>
      <c r="J112" s="329">
        <f>IF(C99&gt;E99,IF(F112&gt;0,E99+(D101*F112),0),IF(F112&gt;0,E99-(D101*F112),0))</f>
        <v>0</v>
      </c>
      <c r="K112" s="146">
        <f>IF(C112&gt;0,IF(G112&lt;K99,K99-G112,G112-K99),0)</f>
        <v>6.1600000000000099E-2</v>
      </c>
      <c r="L112" s="147">
        <f>IF(D112&gt;0,IF(H112&lt;K99,K99-H112,H112-K99),0)</f>
        <v>0</v>
      </c>
      <c r="M112" s="147">
        <f>IF(E112&gt;0,IF(I112&lt;K99,K99-I112,I112-K99),0)</f>
        <v>0</v>
      </c>
      <c r="N112" s="148">
        <f>IF(F112&gt;0,IF(J112&lt;K99,K99-J112,J112-K99),0)</f>
        <v>0</v>
      </c>
      <c r="O112" s="152">
        <f>IF(C112=0,"No Data",G112)</f>
        <v>1.7316</v>
      </c>
      <c r="P112" s="144" t="str">
        <f>IF(D112=0,"No Data",H112)</f>
        <v>No Data</v>
      </c>
      <c r="Q112" s="144" t="str">
        <f t="shared" si="30"/>
        <v>No Data</v>
      </c>
      <c r="R112" s="153" t="str">
        <f>IF(F112=0,"No Data",J112)</f>
        <v>No Data</v>
      </c>
      <c r="S112" s="149">
        <f t="shared" si="32"/>
        <v>1.7316</v>
      </c>
      <c r="T112" s="150">
        <f t="shared" ref="T112:T113" si="34">MIN(O112:R112)</f>
        <v>1.7316</v>
      </c>
      <c r="W112" s="3"/>
      <c r="X112" s="2">
        <v>12</v>
      </c>
      <c r="Y112" s="311" t="s">
        <v>57</v>
      </c>
      <c r="Z112" s="312" t="str">
        <f>CONCATENATE(IF(AND(C99&gt;E99,K99&gt;G99),"[Structure Violation: D passed B] ",""),IF(AND(C99&lt;E99,K99&lt;G99),"[Structure Violation: D passed B] ",""))</f>
        <v xml:space="preserve">[Structure Violation: D passed B] </v>
      </c>
      <c r="AA112" s="381" t="s">
        <v>89</v>
      </c>
      <c r="AB112" s="382"/>
      <c r="AC112" s="382"/>
      <c r="AD112" s="383"/>
    </row>
    <row r="113" spans="1:30" ht="15.75" thickBot="1" x14ac:dyDescent="0.3">
      <c r="A113" s="125" t="s">
        <v>29</v>
      </c>
      <c r="B113" s="331" t="s">
        <v>7</v>
      </c>
      <c r="C113" s="332">
        <v>0.78600000000000003</v>
      </c>
      <c r="D113" s="333">
        <v>1</v>
      </c>
      <c r="E113" s="333">
        <v>1.272</v>
      </c>
      <c r="F113" s="334">
        <v>1.6180000000000001</v>
      </c>
      <c r="G113" s="159">
        <f>IF(C99&gt;E99,IF(C113&gt;0,I99+(F101*C113),0),IF(C113&gt;0,I99-(F101*C113),0))</f>
        <v>1.56982</v>
      </c>
      <c r="H113" s="160">
        <f>IF(C99&gt;E99,IF(D113&gt;0,I99+(F101*D113),0),IF(D113&gt;0,I99-(F101*D113),0))</f>
        <v>1.649</v>
      </c>
      <c r="I113" s="160">
        <f>IF(C99&gt;E99,IF(E113&gt;0,I99+(F101*E113),0),IF(E113&gt;0,I99-(F101*E113),0))</f>
        <v>1.7496400000000001</v>
      </c>
      <c r="J113" s="160">
        <f>IF(C99&gt;E99,IF(F113&gt;0,I99+(F101*F113),0),IF(F113&gt;0,I99-(F101*F113),0))</f>
        <v>1.8776600000000001</v>
      </c>
      <c r="K113" s="162">
        <f>IF(C113&gt;0,IF(G113&lt;K99,K99-G113,G113-K99),0)</f>
        <v>0.10017999999999994</v>
      </c>
      <c r="L113" s="163">
        <f>IF(D113&gt;0,IF(H113&lt;K99,K99-H113,H113-K99),0)</f>
        <v>2.0999999999999908E-2</v>
      </c>
      <c r="M113" s="163">
        <f>IF(E113&gt;0,IF(I113&lt;K99,K99-I113,I113-K99),0)</f>
        <v>7.9640000000000155E-2</v>
      </c>
      <c r="N113" s="164">
        <f>IF(F113&gt;0,IF(J113&lt;K99,K99-J113,J113-K99),0)</f>
        <v>0.20766000000000018</v>
      </c>
      <c r="O113" s="159">
        <f t="shared" ref="O113" si="35">IF(C113=0,"No Data",G113)</f>
        <v>1.56982</v>
      </c>
      <c r="P113" s="160">
        <f t="shared" ref="P113" si="36">IF(D113=0,"No Data",H113)</f>
        <v>1.649</v>
      </c>
      <c r="Q113" s="160">
        <f t="shared" si="30"/>
        <v>1.7496400000000001</v>
      </c>
      <c r="R113" s="161">
        <f t="shared" ref="R113:R117" si="37">IF(F113=0,"No Data",J113)</f>
        <v>1.8776600000000001</v>
      </c>
      <c r="S113" s="165">
        <f t="shared" si="32"/>
        <v>1.8776600000000001</v>
      </c>
      <c r="T113" s="166">
        <f t="shared" si="34"/>
        <v>1.56982</v>
      </c>
      <c r="W113" s="3"/>
      <c r="X113" s="2">
        <v>13</v>
      </c>
      <c r="Y113" s="311" t="s">
        <v>57</v>
      </c>
      <c r="Z113" s="312" t="str">
        <f>CONCATENATE(IF(AND(C99&gt;E99,G99&lt;C99),"[Structure Violation: B below X] ",""),IF(AND(C99&lt;E99,G99&gt;C99),"[Structure Violation: B above X] ",""))</f>
        <v xml:space="preserve">[Structure Violation: B below X] </v>
      </c>
      <c r="AA113" s="381" t="s">
        <v>90</v>
      </c>
      <c r="AB113" s="382"/>
      <c r="AC113" s="382"/>
      <c r="AD113" s="383"/>
    </row>
    <row r="114" spans="1:30" ht="16.5" thickTop="1" thickBot="1" x14ac:dyDescent="0.3">
      <c r="A114" s="12" t="s">
        <v>47</v>
      </c>
      <c r="B114" s="335" t="s">
        <v>6</v>
      </c>
      <c r="C114" s="336">
        <v>2.6179999999999999</v>
      </c>
      <c r="D114" s="337">
        <v>2.786</v>
      </c>
      <c r="E114" s="337">
        <v>3</v>
      </c>
      <c r="F114" s="338">
        <v>3.786</v>
      </c>
      <c r="G114" s="339">
        <f>E97*C114</f>
        <v>23.561999999999998</v>
      </c>
      <c r="H114" s="174">
        <f>E97*D114</f>
        <v>25.074000000000002</v>
      </c>
      <c r="I114" s="175">
        <f>E97*E114</f>
        <v>27</v>
      </c>
      <c r="J114" s="176">
        <f>E97*F114</f>
        <v>34.073999999999998</v>
      </c>
      <c r="K114" s="177">
        <f>IF(C114=0,0,IF(K97&gt;G114,K97-G114,G114-K97))</f>
        <v>6.4380000000000024</v>
      </c>
      <c r="L114" s="178">
        <f>IF(D114=0,0,IF(K97&gt;H114,K97-H114,H114-K97))</f>
        <v>4.9259999999999984</v>
      </c>
      <c r="M114" s="178">
        <f>IF(E114=0,0,IF(K97&gt;I114,K97-I114,I114-K97))</f>
        <v>3</v>
      </c>
      <c r="N114" s="179">
        <f>IF(F114=0,0,IF(K97&gt;J114,K97-J114,J114-K97))</f>
        <v>4.0739999999999981</v>
      </c>
      <c r="O114" s="339">
        <f>IF(C114=0,"No Data",G114)</f>
        <v>23.561999999999998</v>
      </c>
      <c r="P114" s="174">
        <f>IF(D114=0,"No Data",H114)</f>
        <v>25.074000000000002</v>
      </c>
      <c r="Q114" s="175">
        <f t="shared" si="30"/>
        <v>27</v>
      </c>
      <c r="R114" s="176">
        <f t="shared" si="37"/>
        <v>34.073999999999998</v>
      </c>
      <c r="S114" s="180"/>
      <c r="T114" s="181"/>
      <c r="W114" s="3"/>
      <c r="X114" s="2">
        <v>14</v>
      </c>
      <c r="Y114" s="311" t="s">
        <v>57</v>
      </c>
      <c r="Z114" s="312" t="str">
        <f>CONCATENATE(IF(AND(E99&gt;G99,M99&gt;I99),"[Structure Violation: E passed C] ",""),IF(AND(E99&lt;G99,M99&lt;I99),"[Structure Violation: E passed C] ",""))</f>
        <v xml:space="preserve">[Structure Violation: E passed C] </v>
      </c>
      <c r="AA114" s="381" t="s">
        <v>94</v>
      </c>
      <c r="AB114" s="382"/>
      <c r="AC114" s="382"/>
      <c r="AD114" s="383"/>
    </row>
    <row r="115" spans="1:30" ht="15.75" thickBot="1" x14ac:dyDescent="0.3">
      <c r="A115" s="12" t="s">
        <v>47</v>
      </c>
      <c r="B115" s="340" t="s">
        <v>74</v>
      </c>
      <c r="C115" s="341">
        <v>2</v>
      </c>
      <c r="D115" s="342">
        <v>1.786</v>
      </c>
      <c r="E115" s="342">
        <v>1.8859999999999999</v>
      </c>
      <c r="F115" s="343"/>
      <c r="G115" s="191">
        <f>G97*C115</f>
        <v>32</v>
      </c>
      <c r="H115" s="186">
        <f>G97*D115</f>
        <v>28.576000000000001</v>
      </c>
      <c r="I115" s="186">
        <f>G97*E115</f>
        <v>30.175999999999998</v>
      </c>
      <c r="J115" s="344">
        <f>G97*F115</f>
        <v>0</v>
      </c>
      <c r="K115" s="345">
        <f>IF(C115=0,0,IF(K97&gt;G115,K97-G115,G115-K97))</f>
        <v>2</v>
      </c>
      <c r="L115" s="189">
        <f>IF(D115=0,0,IF(K97&gt;H115,K97-H115,H115-K97))</f>
        <v>1.4239999999999995</v>
      </c>
      <c r="M115" s="189">
        <f>IF(E115=0,0,IF(K97&gt;I115,K97-I115,I115-K97))</f>
        <v>0.17599999999999838</v>
      </c>
      <c r="N115" s="178">
        <f>IF(F115=0,0,IF(K97&gt;J115,K97-J115,J115-K97))</f>
        <v>0</v>
      </c>
      <c r="O115" s="191">
        <f>IF(C115=0,"No Data",G115)</f>
        <v>32</v>
      </c>
      <c r="P115" s="186">
        <f t="shared" ref="P115:P117" si="38">IF(D115=0,"No Data",H115)</f>
        <v>28.576000000000001</v>
      </c>
      <c r="Q115" s="186">
        <f t="shared" si="30"/>
        <v>30.175999999999998</v>
      </c>
      <c r="R115" s="344" t="str">
        <f t="shared" si="37"/>
        <v>No Data</v>
      </c>
      <c r="S115" s="195"/>
      <c r="T115" s="196"/>
      <c r="W115" s="3"/>
      <c r="X115" s="2">
        <v>15</v>
      </c>
      <c r="Y115" s="311" t="s">
        <v>57</v>
      </c>
      <c r="Z115" s="317"/>
      <c r="AA115" s="346"/>
      <c r="AB115" s="347"/>
      <c r="AC115" s="347"/>
      <c r="AD115" s="348"/>
    </row>
    <row r="116" spans="1:30" ht="15.75" thickBot="1" x14ac:dyDescent="0.3">
      <c r="A116" s="12" t="s">
        <v>46</v>
      </c>
      <c r="B116" s="139" t="s">
        <v>6</v>
      </c>
      <c r="C116" s="349">
        <v>1.6180000000000001</v>
      </c>
      <c r="D116" s="350">
        <v>1.786</v>
      </c>
      <c r="E116" s="350">
        <v>1</v>
      </c>
      <c r="F116" s="351"/>
      <c r="G116" s="201">
        <f>E97*C116</f>
        <v>14.562000000000001</v>
      </c>
      <c r="H116" s="202">
        <f>E97*D116</f>
        <v>16.074000000000002</v>
      </c>
      <c r="I116" s="202">
        <f>E97*E116</f>
        <v>9</v>
      </c>
      <c r="J116" s="203">
        <f>E97*F116</f>
        <v>0</v>
      </c>
      <c r="K116" s="204">
        <f>IF(C116=0,0,IF(G97&gt;G116,G97-G116,G116-G97))</f>
        <v>1.4379999999999988</v>
      </c>
      <c r="L116" s="205">
        <f>IF(D116=0,0,IF(G97&gt;H116,G97-H116,H116-G97))</f>
        <v>7.400000000000162E-2</v>
      </c>
      <c r="M116" s="205">
        <f>IF(E116=0,0,IF(G97&gt;I116,G97-I116,I116-G97))</f>
        <v>7</v>
      </c>
      <c r="N116" s="206">
        <f>IF(F116=0,0,IF(G97&gt;J116,G97-J116,J116-G97))</f>
        <v>0</v>
      </c>
      <c r="O116" s="201">
        <f t="shared" ref="O116:O117" si="39">IF(C116=0,"No Data",G116)</f>
        <v>14.562000000000001</v>
      </c>
      <c r="P116" s="202">
        <f t="shared" si="38"/>
        <v>16.074000000000002</v>
      </c>
      <c r="Q116" s="202">
        <f t="shared" si="30"/>
        <v>9</v>
      </c>
      <c r="R116" s="203" t="str">
        <f t="shared" si="37"/>
        <v>No Data</v>
      </c>
      <c r="S116" s="207"/>
      <c r="T116" s="208"/>
      <c r="W116" s="3"/>
    </row>
    <row r="117" spans="1:30" ht="15.75" thickBot="1" x14ac:dyDescent="0.3">
      <c r="A117" s="12" t="s">
        <v>66</v>
      </c>
      <c r="B117" s="354" t="s">
        <v>6</v>
      </c>
      <c r="C117" s="355"/>
      <c r="D117" s="356"/>
      <c r="E117" s="356"/>
      <c r="F117" s="357"/>
      <c r="G117" s="213">
        <f>E97*C117</f>
        <v>0</v>
      </c>
      <c r="H117" s="214">
        <f>E97*D117</f>
        <v>0</v>
      </c>
      <c r="I117" s="214">
        <f>E97*E117</f>
        <v>0</v>
      </c>
      <c r="J117" s="215">
        <f>E97*F117</f>
        <v>0</v>
      </c>
      <c r="K117" s="216">
        <f>IF(C117=0,0,IF(I97&gt;G117,I97-G117,G117-I97))</f>
        <v>0</v>
      </c>
      <c r="L117" s="217">
        <f>IF(D117=0,0,IF(I97&gt;H117,I97-H117,H117-I97))</f>
        <v>0</v>
      </c>
      <c r="M117" s="217">
        <f>IF(E117=0,0,IF(I97&gt;I117,I97-I117,I117-I97))</f>
        <v>0</v>
      </c>
      <c r="N117" s="218">
        <f>IF(F117=0,0,IF(I97&gt;J117,I97-J117,J117-I97))</f>
        <v>0</v>
      </c>
      <c r="O117" s="213" t="str">
        <f t="shared" si="39"/>
        <v>No Data</v>
      </c>
      <c r="P117" s="214" t="str">
        <f t="shared" si="38"/>
        <v>No Data</v>
      </c>
      <c r="Q117" s="214" t="str">
        <f t="shared" si="30"/>
        <v>No Data</v>
      </c>
      <c r="R117" s="215" t="str">
        <f t="shared" si="37"/>
        <v>No Data</v>
      </c>
      <c r="S117" s="219"/>
      <c r="T117" s="220"/>
      <c r="W117" s="3"/>
    </row>
    <row r="118" spans="1:30" ht="15.75" thickBot="1" x14ac:dyDescent="0.3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226"/>
      <c r="W118" s="3"/>
    </row>
    <row r="119" spans="1:30" ht="15.75" thickBot="1" x14ac:dyDescent="0.3">
      <c r="A119" s="76"/>
      <c r="C119" s="454" t="s">
        <v>53</v>
      </c>
      <c r="D119" s="455"/>
      <c r="E119" s="455"/>
      <c r="F119" s="456"/>
      <c r="G119" s="454" t="s">
        <v>68</v>
      </c>
      <c r="H119" s="455"/>
      <c r="I119" s="456"/>
      <c r="K119" s="223"/>
      <c r="L119" s="224"/>
      <c r="M119" s="224"/>
      <c r="N119" s="224"/>
      <c r="O119" s="224"/>
      <c r="P119" s="225"/>
      <c r="Q119" s="226"/>
      <c r="R119" s="226"/>
      <c r="S119" s="227"/>
      <c r="T119" s="226"/>
      <c r="U119" s="76"/>
      <c r="W119" s="3"/>
    </row>
    <row r="120" spans="1:30" ht="15.75" thickBot="1" x14ac:dyDescent="0.3">
      <c r="A120" s="115" t="s">
        <v>10</v>
      </c>
      <c r="B120" s="116" t="s">
        <v>51</v>
      </c>
      <c r="C120" s="228">
        <v>1</v>
      </c>
      <c r="D120" s="228">
        <v>2</v>
      </c>
      <c r="E120" s="228">
        <v>3</v>
      </c>
      <c r="F120" s="228">
        <v>4</v>
      </c>
      <c r="G120" s="229" t="s">
        <v>69</v>
      </c>
      <c r="H120" s="230" t="s">
        <v>35</v>
      </c>
      <c r="I120" s="230" t="s">
        <v>55</v>
      </c>
      <c r="K120" s="452" t="s">
        <v>134</v>
      </c>
      <c r="L120" s="453"/>
      <c r="M120" s="452" t="s">
        <v>135</v>
      </c>
      <c r="N120" s="453"/>
      <c r="O120" s="452" t="s">
        <v>136</v>
      </c>
      <c r="P120" s="453"/>
      <c r="W120" s="3"/>
    </row>
    <row r="121" spans="1:30" ht="15.75" customHeight="1" thickBot="1" x14ac:dyDescent="0.3">
      <c r="A121" s="125" t="s">
        <v>11</v>
      </c>
      <c r="B121" s="320" t="s">
        <v>6</v>
      </c>
      <c r="C121" s="231">
        <f>IF(C109=0,"No Data",K109/(F102/100))</f>
        <v>61.431064572425825</v>
      </c>
      <c r="D121" s="232">
        <f>IF(D109=0,"No Data",L109/(F103/100))</f>
        <v>23.33333333333335</v>
      </c>
      <c r="E121" s="233" t="str">
        <f>IF(E109=0,"No Data",M109/(F104/100))</f>
        <v>No Data</v>
      </c>
      <c r="F121" s="232" t="str">
        <f>IF(F109=0,"No Data",N109/(F105/100))</f>
        <v>No Data</v>
      </c>
      <c r="G121" s="234" t="str">
        <f>IF(COUNT(O109:R109)=1,"1Fib",IF(COUNT(O109:R109)&lt;2,"No Data",IF(AND(S109&gt;G99,G99&gt;T109),"Yes","No")))</f>
        <v>No</v>
      </c>
      <c r="H121" s="235">
        <f>IF(COUNTBLANK(C109:F109)=4,"No Data",MIN(C121:F121))</f>
        <v>23.33333333333335</v>
      </c>
      <c r="I121" s="236"/>
      <c r="K121" s="238" t="str">
        <f>CONCATENATE(IF(L121=1,IF(OR(AND(G121="1Fib",H121&lt;$Z$51),AND(G121="Yes",H121&lt;$Z$51),AND(G121="No",H121&lt;$Z$51)),"Valid","Invalid"),""),IF(L121=2,IF(OR(AND(G121="1Fib",H121&lt;$Z$51),AND(G121="Yes",H121&lt;$Z$51),AND(G121="Yes",H121&gt;$Z$51)),"Valid","Invalid"),""),IF(L121=3,IF(OR(AND(G121="1Fib",H121&lt;$Z$51),AND(G121="Yes",H121&lt;$Z$51),AND(G121="Yes",H121&gt;$Z$51),AND(G121="No",H121&lt;$Z$51)),"Valid","Invalid"),""))</f>
        <v>Invalid</v>
      </c>
      <c r="L121" s="342">
        <v>3</v>
      </c>
      <c r="M121" s="238" t="str">
        <f>CONCATENATE(IF(N121=1,IF(OR(AND(G121="1Fib",H121&lt;$Z$51),AND(G121="Yes",H121&lt;$Z$51),AND(G121="No",H121&lt;$Z$51)),"Valid","Invalid"),""),IF(N121=2,IF(OR(AND(G121="1Fib",H121&lt;$Z$51),AND(G121="Yes",H121&lt;$Z$51),AND(G121="Yes",H121&gt;$Z$51)),"Valid","Invalid"),""),IF(N121=3,IF(OR(AND(G121="1Fib",H121&lt;$Z$51),AND(G121="Yes",H121&lt;$Z$51),AND(G121="Yes",H121&gt;$Z$51),AND(G121="No",H121&lt;$Z$51)),"Valid","Invalid"),""))</f>
        <v>Invalid</v>
      </c>
      <c r="N121" s="342">
        <v>1</v>
      </c>
      <c r="O121" s="238" t="str">
        <f>CONCATENATE(IF(P121=1,IF(OR(AND(G121="1Fib",H121&lt;$Z$51),AND(G121="Yes",H121&lt;$Z$51),AND(G121="No",H121&lt;$Z$51)),"Valid","Invalid"),""),IF(P121=2,IF(OR(AND(G121="1Fib",H121&lt;$Z$51),AND(G121="Yes",H121&lt;$Z$51),AND(G121="Yes",H121&gt;$Z$51)),"Valid","Invalid"),""),IF(P121=3,IF(OR(AND(G121="1Fib",H121&lt;$Z$51),AND(G121="Yes",H121&lt;$Z$51),AND(G121="Yes",H121&gt;$Z$51),AND(G121="No",H121&lt;$Z$51)),"Valid","Invalid"),""))</f>
        <v>Invalid</v>
      </c>
      <c r="P121" s="342">
        <v>3</v>
      </c>
      <c r="Q121" s="242" t="s">
        <v>106</v>
      </c>
      <c r="R121" s="243">
        <f>IF(Z126="Y",I123,MAX(H121, H122, I123))</f>
        <v>23.33333333333335</v>
      </c>
      <c r="S121" s="372" t="str">
        <f>IF(R127="","Structure approved","Structure fault!")</f>
        <v>Structure fault!</v>
      </c>
      <c r="T121" s="373"/>
      <c r="U121" s="374"/>
      <c r="W121" s="3"/>
      <c r="Y121" s="226"/>
      <c r="Z121" s="418" t="s">
        <v>45</v>
      </c>
      <c r="AA121" s="419"/>
      <c r="AB121" s="420"/>
      <c r="AC121" s="226"/>
    </row>
    <row r="122" spans="1:30" ht="15.75" customHeight="1" thickBot="1" x14ac:dyDescent="0.3">
      <c r="A122" s="125" t="s">
        <v>12</v>
      </c>
      <c r="B122" s="324" t="s">
        <v>7</v>
      </c>
      <c r="C122" s="244">
        <f>IF(C110=0,"No Data",K110/(H102/100))</f>
        <v>105.88651478703841</v>
      </c>
      <c r="D122" s="245">
        <f>IF(D110=0,"No Data",L110/(H103/100))</f>
        <v>11.231773534256623</v>
      </c>
      <c r="E122" s="246" t="str">
        <f>IF(E110=0,"No Data",M110/(H104/100))</f>
        <v>No Data</v>
      </c>
      <c r="F122" s="245" t="str">
        <f>IF(F110=0,"No Data",N110/(H105/100))</f>
        <v>No Data</v>
      </c>
      <c r="G122" s="247" t="str">
        <f>IF(COUNT(O110:R110)=1,"1Fib",IF(COUNT(O110:R110)&lt;2,"No Data",IF(AND(S110&gt;I99,I99&gt;T110),"Yes","No")))</f>
        <v>Yes</v>
      </c>
      <c r="H122" s="270">
        <f>IF(COUNTBLANK(C110:F110)=4,"No Data",MIN(C122:F122))</f>
        <v>11.231773534256623</v>
      </c>
      <c r="I122" s="248"/>
      <c r="K122" s="249" t="str">
        <f>CONCATENATE(IF(L122=1,IF(OR(AND(G122="1Fib",H122&lt;$Z$51),AND(G122="Yes",H122&lt;$Z$51),AND(G122="No",H122&lt;$Z$51)),"Valid","Invalid"),""),IF(L122=2,IF(OR(AND(G122="1Fib",H122&lt;$Z$51),AND(G122="Yes",H122&lt;$Z$51),AND(G122="Yes",H122&gt;$Z$51)),"Valid","Invalid"),""),IF(L122=3,IF(OR(AND(G122="1Fib",H122&lt;$Z$51),AND(G122="Yes",H122&lt;$Z$51),AND(G122="Yes",H122&gt;$Z$51),AND(G122="No",H122&lt;$Z$51)),"Valid","Invalid"),""))</f>
        <v>Valid</v>
      </c>
      <c r="L122" s="342">
        <v>2</v>
      </c>
      <c r="M122" s="249" t="str">
        <f>CONCATENATE(IF(N122=1,IF(OR(AND(G122="1Fib",H122&lt;$Z$51),AND(G122="Yes",H122&lt;$Z$51),AND(G122="No",H122&lt;$Z$51)),"Valid","Invalid"),""),IF(N122=2,IF(OR(AND(G122="1Fib",H122&lt;$Z$51),AND(G122="Yes",H122&lt;$Z$51),AND(G122="Yes",H122&gt;$Z$51)),"Valid","Invalid"),""),IF(N122=3,IF(OR(AND(G122="1Fib",H122&lt;$Z$51),AND(G122="Yes",H122&lt;$Z$51),AND(G122="Yes",H122&gt;$Z$51),AND(G122="No",H122&lt;$Z$51)),"Valid","Invalid"),""))</f>
        <v>Invalid</v>
      </c>
      <c r="N122" s="342">
        <v>1</v>
      </c>
      <c r="O122" s="249" t="str">
        <f>CONCATENATE(IF(P122=1,IF(OR(AND(G122="1Fib",H122&lt;$Z$51),AND(G122="Yes",H122&lt;$Z$51),AND(G122="No",H122&lt;$Z$51)),"Valid","Invalid"),""),IF(P122=2,IF(OR(AND(G122="1Fib",H122&lt;$Z$51),AND(G122="Yes",H122&lt;$Z$51),AND(G122="Yes",H122&gt;$Z$51)),"Valid","Invalid"),""),IF(P122=3,IF(OR(AND(G122="1Fib",H122&lt;$Z$51),AND(G122="Yes",H122&lt;$Z$51),AND(G122="Yes",H122&gt;$Z$51),AND(G122="No",H122&lt;$Z$51)),"Valid","Invalid"),""))</f>
        <v>Valid</v>
      </c>
      <c r="P122" s="342">
        <v>3</v>
      </c>
      <c r="Q122" s="250" t="s">
        <v>107</v>
      </c>
      <c r="R122" s="243">
        <f>IF(Z126="Y",I126,MAX(H129,H128,I126))</f>
        <v>0.58324496288440608</v>
      </c>
      <c r="S122" s="375"/>
      <c r="T122" s="376"/>
      <c r="U122" s="377"/>
      <c r="W122" s="3"/>
      <c r="Y122" s="2"/>
      <c r="Z122" s="95" t="s">
        <v>43</v>
      </c>
      <c r="AB122" s="95" t="s">
        <v>44</v>
      </c>
    </row>
    <row r="123" spans="1:30" ht="15.75" customHeight="1" thickBot="1" x14ac:dyDescent="0.3">
      <c r="A123" s="125" t="s">
        <v>13</v>
      </c>
      <c r="B123" s="324" t="s">
        <v>8</v>
      </c>
      <c r="C123" s="251">
        <f>IF(C111=0,"No Data",K111/(J102/100))</f>
        <v>16.95657529766082</v>
      </c>
      <c r="D123" s="252">
        <f>IF(D111=0,"No Data",L111/(J103/100))</f>
        <v>32.817869415807593</v>
      </c>
      <c r="E123" s="253">
        <f>IF(E111=0,"No Data",M111/(J104/100))</f>
        <v>48.676752800464179</v>
      </c>
      <c r="F123" s="252" t="str">
        <f>IF(F111=0,"No Data",N111/(J105/100))</f>
        <v>No Data</v>
      </c>
      <c r="G123" s="247" t="str">
        <f>IF(COUNT(O111:R111)=1,"1Fib",IF(COUNT(O111:R111)&lt;2,"No Data",IF(AND(S111&gt;K99,K99&gt;T111),"Yes","No")))</f>
        <v>No</v>
      </c>
      <c r="H123" s="270">
        <f>IF(COUNTBLANK(C111:F111)=4,"No Data",MIN(C123:F123))</f>
        <v>16.95657529766082</v>
      </c>
      <c r="I123" s="254">
        <f>MIN(C123:F125)</f>
        <v>5.6756756756756488</v>
      </c>
      <c r="J123" s="2" t="s">
        <v>32</v>
      </c>
      <c r="K123" s="249" t="str">
        <f t="shared" ref="K123:K125" si="40">CONCATENATE(IF(L123=1,IF(OR(AND(G123="1Fib",H123&lt;$Z$51),AND(G123="Yes",H123&lt;$Z$51),AND(G123="No",H123&lt;$Z$51)),"Valid","Invalid"),""),IF(L123=2,IF(OR(AND(G123="1Fib",H123&lt;$Z$51),AND(G123="Yes",H123&lt;$Z$51),AND(G123="Yes",H123&gt;$Z$51)),"Valid","Invalid"),""),IF(L123=3,IF(OR(AND(G123="1Fib",H123&lt;$Z$51),AND(G123="Yes",H123&lt;$Z$51),AND(G123="Yes",H123&gt;$Z$51),AND(G123="No",H123&lt;$Z$51)),"Valid","Invalid"),""))</f>
        <v>Invalid</v>
      </c>
      <c r="L123" s="342">
        <v>2</v>
      </c>
      <c r="M123" s="249" t="str">
        <f t="shared" ref="M123:M125" si="41">CONCATENATE(IF(N123=1,IF(OR(AND(G123="1Fib",H123&lt;$Z$51),AND(G123="Yes",H123&lt;$Z$51),AND(G123="No",H123&lt;$Z$51)),"Valid","Invalid"),""),IF(N123=2,IF(OR(AND(G123="1Fib",H123&lt;$Z$51),AND(G123="Yes",H123&lt;$Z$51),AND(G123="Yes",H123&gt;$Z$51)),"Valid","Invalid"),""),IF(N123=3,IF(OR(AND(G123="1Fib",H123&lt;$Z$51),AND(G123="Yes",H123&lt;$Z$51),AND(G123="Yes",H123&gt;$Z$51),AND(G123="No",H123&lt;$Z$51)),"Valid","Invalid"),""))</f>
        <v>Invalid</v>
      </c>
      <c r="N123" s="342">
        <v>1</v>
      </c>
      <c r="O123" s="249" t="str">
        <f t="shared" ref="O123:O125" si="42">CONCATENATE(IF(P123=1,IF(OR(AND(G123="1Fib",H123&lt;$Z$51),AND(G123="Yes",H123&lt;$Z$51),AND(G123="No",H123&lt;$Z$51)),"Valid","Invalid"),""),IF(P123=2,IF(OR(AND(G123="1Fib",H123&lt;$Z$51),AND(G123="Yes",H123&lt;$Z$51),AND(G123="Yes",H123&gt;$Z$51)),"Valid","Invalid"),""),IF(P123=3,IF(OR(AND(G123="1Fib",H123&lt;$Z$51),AND(G123="Yes",H123&lt;$Z$51),AND(G123="Yes",H123&gt;$Z$51),AND(G123="No",H123&lt;$Z$51)),"Valid","Invalid"),""))</f>
        <v>Invalid</v>
      </c>
      <c r="P123" s="342">
        <v>3</v>
      </c>
      <c r="Q123" s="242" t="s">
        <v>108</v>
      </c>
      <c r="R123" s="243">
        <f>IF(Z126="Y",MAX(H123:H125),MAX(H121,H122,I123,I126,H128,H129))</f>
        <v>23.33333333333335</v>
      </c>
      <c r="S123" s="375"/>
      <c r="T123" s="376"/>
      <c r="U123" s="377"/>
      <c r="W123" s="3"/>
      <c r="Y123" s="255" t="s">
        <v>28</v>
      </c>
      <c r="Z123" s="256">
        <f>Z87</f>
        <v>8</v>
      </c>
      <c r="AA123" s="2" t="s">
        <v>15</v>
      </c>
      <c r="AB123" s="256">
        <f>AB87</f>
        <v>10</v>
      </c>
      <c r="AC123" s="2" t="s">
        <v>15</v>
      </c>
    </row>
    <row r="124" spans="1:30" ht="15.75" customHeight="1" thickBot="1" x14ac:dyDescent="0.3">
      <c r="A124" s="125" t="s">
        <v>14</v>
      </c>
      <c r="B124" s="324" t="s">
        <v>6</v>
      </c>
      <c r="C124" s="251">
        <f>IF(C112=0,"No Data",K112/(L102/100))</f>
        <v>11.587659894657655</v>
      </c>
      <c r="D124" s="252" t="str">
        <f>IF(D112=0,"No Data",L112/(L103/100))</f>
        <v>No Data</v>
      </c>
      <c r="E124" s="253" t="str">
        <f>IF(E112=0,"No Data",M112/(L104/100))</f>
        <v>No Data</v>
      </c>
      <c r="F124" s="252" t="str">
        <f>IF(F112=0,"No Data",N112/(L105/100))</f>
        <v>No Data</v>
      </c>
      <c r="G124" s="247" t="str">
        <f>IF(COUNT(O112:R112)=1,"1Fib",IF(COUNT(O112:R112)&lt;2,"No Data",IF(AND(S112&gt;K99,K99&gt;T112),"Yes","No")))</f>
        <v>1Fib</v>
      </c>
      <c r="H124" s="270">
        <f>IF(COUNTBLANK(C112:F112)=4,"No Data",MIN(C124:F124))</f>
        <v>11.587659894657655</v>
      </c>
      <c r="I124" s="257">
        <f>MAX(O111:R113)-MIN(O111:R113)</f>
        <v>0.47101800000000038</v>
      </c>
      <c r="J124" s="2" t="s">
        <v>40</v>
      </c>
      <c r="K124" s="249" t="str">
        <f t="shared" si="40"/>
        <v>Invalid</v>
      </c>
      <c r="L124" s="342">
        <v>3</v>
      </c>
      <c r="M124" s="249" t="str">
        <f t="shared" si="41"/>
        <v>Invalid</v>
      </c>
      <c r="N124" s="342">
        <v>1</v>
      </c>
      <c r="O124" s="249" t="str">
        <f t="shared" si="42"/>
        <v>Invalid</v>
      </c>
      <c r="P124" s="342">
        <v>3</v>
      </c>
      <c r="Q124" s="242" t="s">
        <v>54</v>
      </c>
      <c r="R124" s="258">
        <f>SUM(H121,H122,I123)/COUNT(H121,H122,I123)</f>
        <v>13.413594181088541</v>
      </c>
      <c r="S124" s="375"/>
      <c r="T124" s="376"/>
      <c r="U124" s="377"/>
      <c r="W124" s="3"/>
      <c r="Y124" s="95"/>
      <c r="Z124" s="2"/>
      <c r="AA124" s="95"/>
      <c r="AB124" s="95"/>
      <c r="AC124" s="259"/>
    </row>
    <row r="125" spans="1:30" ht="15.75" customHeight="1" thickBot="1" x14ac:dyDescent="0.3">
      <c r="A125" s="125" t="s">
        <v>29</v>
      </c>
      <c r="B125" s="331" t="s">
        <v>7</v>
      </c>
      <c r="C125" s="260">
        <f>IF(C113=0,"No Data",K113/(N102/100))</f>
        <v>34.447424523760368</v>
      </c>
      <c r="D125" s="261">
        <f>IF(D113=0,"No Data",L113/(N103/100))</f>
        <v>5.6756756756756488</v>
      </c>
      <c r="E125" s="262">
        <f>IF(E113=0,"No Data",M113/(N104/100))</f>
        <v>16.921638619751853</v>
      </c>
      <c r="F125" s="261">
        <f>IF(F113=0,"No Data",N113/(N105/100))</f>
        <v>34.687468680052135</v>
      </c>
      <c r="G125" s="263" t="str">
        <f>IF(COUNT(O113:R113)=1,"1Fib",IF(COUNT(O113:R113)&lt;2,"No Data",IF(AND(S113&gt;K99,K99&gt;T113),"Yes","No")))</f>
        <v>Yes</v>
      </c>
      <c r="H125" s="264">
        <f>IF(COUNTBLANK(C113:F113)=4,"No Data",MIN(C125:F125))</f>
        <v>5.6756756756756488</v>
      </c>
      <c r="I125" s="265">
        <f>COUNT(C123:F125)</f>
        <v>8</v>
      </c>
      <c r="J125" s="2" t="s">
        <v>41</v>
      </c>
      <c r="K125" s="249" t="str">
        <f t="shared" si="40"/>
        <v>Valid</v>
      </c>
      <c r="L125" s="342">
        <v>3</v>
      </c>
      <c r="M125" s="249" t="str">
        <f t="shared" si="41"/>
        <v>Valid</v>
      </c>
      <c r="N125" s="342">
        <v>1</v>
      </c>
      <c r="O125" s="249" t="str">
        <f t="shared" si="42"/>
        <v>Valid</v>
      </c>
      <c r="P125" s="342">
        <v>3</v>
      </c>
      <c r="Q125" s="250" t="s">
        <v>48</v>
      </c>
      <c r="R125" s="243">
        <f>SUM(I126,H128,H129)/COUNT(I126,H128,H129)</f>
        <v>0.34787191600108053</v>
      </c>
      <c r="S125" s="375"/>
      <c r="T125" s="376"/>
      <c r="U125" s="377"/>
      <c r="W125" s="3"/>
      <c r="Y125" s="2"/>
      <c r="Z125" s="95" t="s">
        <v>38</v>
      </c>
      <c r="AB125" s="95"/>
      <c r="AC125" s="310"/>
    </row>
    <row r="126" spans="1:30" ht="16.5" customHeight="1" thickTop="1" thickBot="1" x14ac:dyDescent="0.3">
      <c r="A126" s="12" t="s">
        <v>47</v>
      </c>
      <c r="B126" s="335" t="s">
        <v>6</v>
      </c>
      <c r="C126" s="268">
        <f>IF(C114=0,"No Data",K114/(G114/100))</f>
        <v>27.323656735421455</v>
      </c>
      <c r="D126" s="268">
        <f t="shared" ref="D126:D129" si="43">IF(D114=0,"No Data",L114/(H114/100))</f>
        <v>19.645848289064361</v>
      </c>
      <c r="E126" s="268">
        <f t="shared" ref="E126:E129" si="44">IF(E114=0,"No Data",M114/(I114/100))</f>
        <v>11.111111111111111</v>
      </c>
      <c r="F126" s="268">
        <f t="shared" ref="F126:F129" si="45">IF(F114=0,"No Data",N114/(J114/100))</f>
        <v>11.956330339848559</v>
      </c>
      <c r="G126" s="269"/>
      <c r="H126" s="270">
        <f>IF(COUNTIF(C114:F114,0)=4,"No Data",MIN(C126:F126))</f>
        <v>11.111111111111111</v>
      </c>
      <c r="I126" s="254">
        <f>MIN(C126:F127)</f>
        <v>0.58324496288440608</v>
      </c>
      <c r="K126" s="363">
        <f>COUNTIFS(G121:K125,"Valid")</f>
        <v>2</v>
      </c>
      <c r="L126" s="14"/>
      <c r="M126" s="363">
        <f>COUNTIFS(M121:M125,"Valid")</f>
        <v>1</v>
      </c>
      <c r="N126" s="14"/>
      <c r="O126" s="363">
        <f>COUNTIFS(O121:O125,"Valid")</f>
        <v>2</v>
      </c>
      <c r="Q126" s="250" t="s">
        <v>56</v>
      </c>
      <c r="R126" s="243">
        <f>SUM(H121,H122,I123,I126,H128,H129)/COUNT(H121,H122,I123,I126,H128,H129)</f>
        <v>6.880733048544811</v>
      </c>
      <c r="S126" s="378"/>
      <c r="T126" s="379"/>
      <c r="U126" s="380"/>
      <c r="W126" s="3"/>
      <c r="Y126" s="255" t="s">
        <v>36</v>
      </c>
      <c r="Z126" s="256" t="s">
        <v>57</v>
      </c>
      <c r="AA126" s="255"/>
      <c r="AB126" s="256"/>
      <c r="AC126" s="272"/>
    </row>
    <row r="127" spans="1:30" ht="15.75" customHeight="1" thickBot="1" x14ac:dyDescent="0.3">
      <c r="A127" s="12" t="s">
        <v>47</v>
      </c>
      <c r="B127" s="340" t="s">
        <v>74</v>
      </c>
      <c r="C127" s="273">
        <f t="shared" ref="C127:C129" si="46">IF(C115=0,"No Data",K115/(G115/100))</f>
        <v>6.25</v>
      </c>
      <c r="D127" s="273">
        <f t="shared" si="43"/>
        <v>4.9832026875699871</v>
      </c>
      <c r="E127" s="273">
        <f t="shared" si="44"/>
        <v>0.58324496288440608</v>
      </c>
      <c r="F127" s="273" t="str">
        <f t="shared" si="45"/>
        <v>No Data</v>
      </c>
      <c r="G127" s="269"/>
      <c r="H127" s="235">
        <f>IF(COUNTIF(C115:F115,0)=4,"No Data",MIN(C127:F127))</f>
        <v>0.58324496288440608</v>
      </c>
      <c r="I127" s="235"/>
      <c r="K127" s="439" t="s">
        <v>116</v>
      </c>
      <c r="L127" s="439"/>
      <c r="M127" s="439"/>
      <c r="N127" s="439"/>
      <c r="O127" s="439"/>
      <c r="P127" s="439"/>
      <c r="Q127" s="274"/>
      <c r="R127" s="397" t="str">
        <f>CONCATENATE(IF(Y101="Y",Z101,""),IF(Y102="Y",Z102,""),IF(Y103="Y",Z103,""),IF(Y104="Y",Z104,""),IF(Y105="Y",Z105,""),IF(Y106="Y",Z106,""),IF(Y107="Y",Z107,""),IF(Y108="Y",Z108,""),IF(Y109="Y",Z109,""),IF(Y110="Y",Z110,""),IF(Y111="Y",Z111,""),IF(Y112="Y",Z112,""),IF(Y113="Y",Z113,""),IF(Y114="Y",Z114,""),IF(Y115="Y",Z115,""))</f>
        <v>[Weak Structure: More than 8 % Price deviation]</v>
      </c>
      <c r="S127" s="398"/>
      <c r="T127" s="398"/>
      <c r="U127" s="399"/>
      <c r="W127" s="3"/>
      <c r="Y127" s="2"/>
      <c r="Z127" s="2"/>
      <c r="AC127" s="259"/>
    </row>
    <row r="128" spans="1:30" ht="15.75" thickBot="1" x14ac:dyDescent="0.3">
      <c r="A128" s="12" t="s">
        <v>46</v>
      </c>
      <c r="B128" s="139" t="s">
        <v>6</v>
      </c>
      <c r="C128" s="273">
        <f t="shared" si="46"/>
        <v>9.8750171679714249</v>
      </c>
      <c r="D128" s="273">
        <f t="shared" si="43"/>
        <v>0.46037078511883545</v>
      </c>
      <c r="E128" s="273">
        <f t="shared" si="44"/>
        <v>77.777777777777786</v>
      </c>
      <c r="F128" s="273" t="str">
        <f t="shared" si="45"/>
        <v>No Data</v>
      </c>
      <c r="G128" s="275"/>
      <c r="H128" s="235">
        <f>IF(COUNTIF(C116:F116,0)=4,"No Data",MIN(C128:F128))</f>
        <v>0.46037078511883545</v>
      </c>
      <c r="I128" s="235"/>
      <c r="K128" s="440" t="s">
        <v>126</v>
      </c>
      <c r="L128" s="440"/>
      <c r="M128" s="440"/>
      <c r="N128" s="440"/>
      <c r="O128" s="440"/>
      <c r="P128" s="440"/>
      <c r="Q128" s="276" t="s">
        <v>34</v>
      </c>
      <c r="R128" s="400"/>
      <c r="S128" s="401"/>
      <c r="T128" s="401"/>
      <c r="U128" s="402"/>
      <c r="W128" s="3"/>
      <c r="Y128" s="2"/>
      <c r="Z128" s="2"/>
      <c r="AC128" s="259"/>
    </row>
    <row r="129" spans="1:30" ht="15.75" thickBot="1" x14ac:dyDescent="0.3">
      <c r="A129" s="12" t="s">
        <v>66</v>
      </c>
      <c r="B129" s="354" t="s">
        <v>6</v>
      </c>
      <c r="C129" s="277" t="str">
        <f t="shared" si="46"/>
        <v>No Data</v>
      </c>
      <c r="D129" s="277" t="str">
        <f t="shared" si="43"/>
        <v>No Data</v>
      </c>
      <c r="E129" s="277" t="str">
        <f t="shared" si="44"/>
        <v>No Data</v>
      </c>
      <c r="F129" s="277" t="str">
        <f t="shared" si="45"/>
        <v>No Data</v>
      </c>
      <c r="G129" s="278"/>
      <c r="H129" s="235">
        <f>IF(COUNTIF(C117:F117,0)=4,"No Data",MIN(C129:F129))</f>
        <v>0</v>
      </c>
      <c r="I129" s="235"/>
      <c r="K129" s="440" t="s">
        <v>127</v>
      </c>
      <c r="L129" s="440"/>
      <c r="M129" s="440"/>
      <c r="N129" s="440"/>
      <c r="O129" s="440"/>
      <c r="P129" s="440"/>
      <c r="Q129" s="250"/>
      <c r="R129" s="403"/>
      <c r="S129" s="404"/>
      <c r="T129" s="404"/>
      <c r="U129" s="405"/>
      <c r="W129" s="3"/>
      <c r="Y129" s="2"/>
      <c r="Z129" s="256"/>
      <c r="AA129" s="255"/>
      <c r="AB129" s="256"/>
      <c r="AC129" s="259"/>
    </row>
    <row r="130" spans="1:30" x14ac:dyDescent="0.25">
      <c r="I130" s="279"/>
      <c r="J130" s="281"/>
      <c r="K130" s="283"/>
      <c r="L130" s="283"/>
      <c r="M130" s="284"/>
      <c r="N130" s="285"/>
      <c r="O130" s="283"/>
      <c r="P130" s="283"/>
      <c r="W130" s="3"/>
    </row>
    <row r="131" spans="1:30" s="292" customFormat="1" ht="27.75" customHeight="1" x14ac:dyDescent="0.25">
      <c r="A131" s="3"/>
      <c r="B131" s="3"/>
      <c r="C131" s="3"/>
      <c r="D131" s="289"/>
      <c r="E131" s="290"/>
      <c r="F131" s="290"/>
      <c r="G131" s="290"/>
      <c r="M131" s="290"/>
      <c r="N131" s="290"/>
      <c r="O131" s="3"/>
      <c r="P131" s="293"/>
      <c r="Q131" s="294"/>
      <c r="R131" s="295"/>
      <c r="S131" s="295"/>
      <c r="T131" s="3"/>
      <c r="W131" s="3"/>
      <c r="Y131" s="296"/>
      <c r="Z131" s="297"/>
    </row>
    <row r="132" spans="1:30" ht="15.75" thickBot="1" x14ac:dyDescent="0.3">
      <c r="A132" s="78"/>
      <c r="B132" s="78"/>
      <c r="C132" s="78"/>
      <c r="D132" s="298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78"/>
      <c r="P132" s="78"/>
      <c r="Q132" s="78"/>
      <c r="R132" s="78"/>
      <c r="S132" s="78"/>
      <c r="W132" s="3"/>
    </row>
    <row r="133" spans="1:30" s="89" customFormat="1" ht="15.75" customHeight="1" thickBot="1" x14ac:dyDescent="0.3">
      <c r="A133" s="82"/>
      <c r="B133" s="299" t="s">
        <v>95</v>
      </c>
      <c r="C133" s="425">
        <f>C97</f>
        <v>0</v>
      </c>
      <c r="D133" s="426"/>
      <c r="E133" s="425">
        <f>E97</f>
        <v>9</v>
      </c>
      <c r="F133" s="426"/>
      <c r="G133" s="425">
        <f>G97</f>
        <v>16</v>
      </c>
      <c r="H133" s="426"/>
      <c r="I133" s="425">
        <f>I97</f>
        <v>23</v>
      </c>
      <c r="J133" s="426"/>
      <c r="K133" s="425">
        <f>K97</f>
        <v>30</v>
      </c>
      <c r="L133" s="426"/>
      <c r="M133" s="425">
        <f>M97</f>
        <v>33</v>
      </c>
      <c r="N133" s="426"/>
      <c r="O133" s="395"/>
      <c r="P133" s="395"/>
      <c r="Q133" s="395"/>
      <c r="R133" s="395"/>
      <c r="S133" s="395"/>
      <c r="T133" s="395"/>
      <c r="U133" s="395"/>
      <c r="V133" s="395"/>
      <c r="W133" s="3"/>
      <c r="Y133" s="4"/>
      <c r="Z133" s="5"/>
    </row>
    <row r="134" spans="1:30" ht="34.5" thickBot="1" x14ac:dyDescent="0.3">
      <c r="A134" s="300" t="s">
        <v>23</v>
      </c>
      <c r="B134" s="360">
        <v>3</v>
      </c>
      <c r="C134" s="421" t="s">
        <v>5</v>
      </c>
      <c r="D134" s="422"/>
      <c r="E134" s="421" t="s">
        <v>1</v>
      </c>
      <c r="F134" s="422"/>
      <c r="G134" s="421" t="s">
        <v>2</v>
      </c>
      <c r="H134" s="422"/>
      <c r="I134" s="421" t="s">
        <v>3</v>
      </c>
      <c r="J134" s="422"/>
      <c r="K134" s="421" t="s">
        <v>4</v>
      </c>
      <c r="L134" s="422"/>
      <c r="M134" s="421" t="s">
        <v>93</v>
      </c>
      <c r="N134" s="422"/>
      <c r="O134" s="396"/>
      <c r="P134" s="396"/>
      <c r="Q134" s="396"/>
      <c r="R134" s="396"/>
      <c r="S134" s="396"/>
      <c r="T134" s="396"/>
      <c r="U134" s="396"/>
      <c r="V134" s="396"/>
      <c r="W134" s="3"/>
      <c r="X134" s="302" t="str">
        <f>A134</f>
        <v>Butterfly</v>
      </c>
      <c r="Y134" s="361"/>
      <c r="Z134" s="362"/>
    </row>
    <row r="135" spans="1:30" ht="15.75" customHeight="1" thickBot="1" x14ac:dyDescent="0.3">
      <c r="A135" s="90"/>
      <c r="B135" s="91" t="s">
        <v>96</v>
      </c>
      <c r="C135" s="447">
        <f>C99</f>
        <v>1.8</v>
      </c>
      <c r="D135" s="448"/>
      <c r="E135" s="447">
        <f>E99</f>
        <v>1.2</v>
      </c>
      <c r="F135" s="448"/>
      <c r="G135" s="447">
        <f>G99</f>
        <v>1.57</v>
      </c>
      <c r="H135" s="448"/>
      <c r="I135" s="447">
        <f>I99</f>
        <v>1.2789999999999999</v>
      </c>
      <c r="J135" s="448"/>
      <c r="K135" s="447">
        <f>K99</f>
        <v>1.67</v>
      </c>
      <c r="L135" s="448"/>
      <c r="M135" s="447">
        <f>M99</f>
        <v>0</v>
      </c>
      <c r="N135" s="448"/>
      <c r="O135" s="394"/>
      <c r="P135" s="394"/>
      <c r="Q135" s="394"/>
      <c r="R135" s="394"/>
      <c r="S135" s="394"/>
      <c r="T135" s="394"/>
      <c r="U135" s="394"/>
      <c r="V135" s="394"/>
      <c r="W135" s="3"/>
    </row>
    <row r="136" spans="1:30" ht="34.5" thickBot="1" x14ac:dyDescent="0.3">
      <c r="A136" s="92"/>
      <c r="B136" s="92"/>
      <c r="C136" s="93" t="s">
        <v>16</v>
      </c>
      <c r="D136" s="430" t="s">
        <v>6</v>
      </c>
      <c r="E136" s="431"/>
      <c r="F136" s="430" t="s">
        <v>7</v>
      </c>
      <c r="G136" s="431"/>
      <c r="H136" s="430" t="s">
        <v>8</v>
      </c>
      <c r="I136" s="431"/>
      <c r="J136" s="430" t="s">
        <v>9</v>
      </c>
      <c r="K136" s="431"/>
      <c r="L136" s="449" t="s">
        <v>30</v>
      </c>
      <c r="M136" s="393"/>
      <c r="N136" s="449" t="s">
        <v>31</v>
      </c>
      <c r="O136" s="393"/>
      <c r="P136" s="304"/>
      <c r="Q136" s="78"/>
      <c r="R136" s="78"/>
      <c r="W136" s="3"/>
      <c r="Y136" s="305" t="s">
        <v>36</v>
      </c>
      <c r="Z136" s="230" t="s">
        <v>71</v>
      </c>
      <c r="AA136" s="306" t="s">
        <v>80</v>
      </c>
      <c r="AB136" s="307"/>
      <c r="AC136" s="307"/>
      <c r="AD136" s="308"/>
    </row>
    <row r="137" spans="1:30" ht="15.75" thickBot="1" x14ac:dyDescent="0.3">
      <c r="A137" s="441"/>
      <c r="B137" s="442"/>
      <c r="C137" s="93" t="s">
        <v>33</v>
      </c>
      <c r="D137" s="423">
        <f>IF(C135&lt;E135,E135-C135,C135-E135)</f>
        <v>0.60000000000000009</v>
      </c>
      <c r="E137" s="424"/>
      <c r="F137" s="423">
        <f>IF(G135&lt;E135,E135-G135,G135-E135)</f>
        <v>0.37000000000000011</v>
      </c>
      <c r="G137" s="424"/>
      <c r="H137" s="423">
        <f>IF(I135&lt;G135,G135-I135,I135-G135)</f>
        <v>0.29100000000000015</v>
      </c>
      <c r="I137" s="424"/>
      <c r="J137" s="423">
        <f>IF(K135&lt;I135,I135-K135,K135-I135)</f>
        <v>0.39100000000000001</v>
      </c>
      <c r="K137" s="424"/>
      <c r="L137" s="423">
        <f>IF(C135&lt;E135,E135-C135,C135-E135)</f>
        <v>0.60000000000000009</v>
      </c>
      <c r="M137" s="424"/>
      <c r="N137" s="423">
        <f>IF(E135&lt;G135,G135-E135,E135-G135)</f>
        <v>0.37000000000000011</v>
      </c>
      <c r="O137" s="424"/>
      <c r="P137" s="78"/>
      <c r="Q137" s="76"/>
      <c r="R137" s="76"/>
      <c r="W137" s="3"/>
      <c r="X137" s="2">
        <v>1</v>
      </c>
      <c r="Y137" s="311" t="s">
        <v>70</v>
      </c>
      <c r="Z137" s="312" t="str">
        <f>IF(R157&gt;Z159,CONCATENATE("[Weak Structure: More than ",Z159," % Price deviation]"),"")</f>
        <v>[Weak Structure: More than 8 % Price deviation]</v>
      </c>
      <c r="AA137" s="381" t="s">
        <v>72</v>
      </c>
      <c r="AB137" s="382"/>
      <c r="AC137" s="382"/>
      <c r="AD137" s="383"/>
    </row>
    <row r="138" spans="1:30" ht="15.75" thickBot="1" x14ac:dyDescent="0.3">
      <c r="A138" s="443"/>
      <c r="B138" s="444"/>
      <c r="C138" s="93" t="s">
        <v>18</v>
      </c>
      <c r="D138" s="437" t="s">
        <v>17</v>
      </c>
      <c r="E138" s="438"/>
      <c r="F138" s="437">
        <f>IF(C145&gt;0,(D137*C145),"No Data")</f>
        <v>0.47160000000000007</v>
      </c>
      <c r="G138" s="438"/>
      <c r="H138" s="437">
        <f>IF(C146&gt;0,(F137*C146),"No Data")</f>
        <v>0.14134000000000005</v>
      </c>
      <c r="I138" s="438"/>
      <c r="J138" s="437">
        <f>IF(C147&gt;0,(H137*C147),"No Data")</f>
        <v>0.47083800000000026</v>
      </c>
      <c r="K138" s="438"/>
      <c r="L138" s="437">
        <f>IF(C148&gt;0,(L137*C148),"No Data")</f>
        <v>0.7632000000000001</v>
      </c>
      <c r="M138" s="438"/>
      <c r="N138" s="437">
        <f>IF(C149&gt;0,(N137*C149),"No Data")</f>
        <v>0.37000000000000011</v>
      </c>
      <c r="O138" s="438"/>
      <c r="P138" s="314"/>
      <c r="Q138" s="76"/>
      <c r="R138" s="76"/>
      <c r="W138" s="3"/>
      <c r="X138" s="2">
        <v>2</v>
      </c>
      <c r="Y138" s="311" t="s">
        <v>70</v>
      </c>
      <c r="Z138" s="312" t="str">
        <f>IF(R158&gt;AB159,CONCATENATE("[Weak Structure: More than ",AB159," % Time deviation]"),"")</f>
        <v/>
      </c>
      <c r="AA138" s="381" t="s">
        <v>73</v>
      </c>
      <c r="AB138" s="382"/>
      <c r="AC138" s="382"/>
      <c r="AD138" s="383"/>
    </row>
    <row r="139" spans="1:30" ht="15.75" thickBot="1" x14ac:dyDescent="0.3">
      <c r="A139" s="443"/>
      <c r="B139" s="444"/>
      <c r="C139" s="93" t="s">
        <v>19</v>
      </c>
      <c r="D139" s="437" t="s">
        <v>17</v>
      </c>
      <c r="E139" s="438"/>
      <c r="F139" s="437" t="str">
        <f>IF(D145&gt;0,(D137*D145),"No Data")</f>
        <v>No Data</v>
      </c>
      <c r="G139" s="438"/>
      <c r="H139" s="437">
        <f>IF(D146&gt;0,(F137*D146),"No Data")</f>
        <v>0.32782000000000011</v>
      </c>
      <c r="I139" s="438"/>
      <c r="J139" s="437">
        <f>IF(D147&gt;0,(H137*D147),"No Data")</f>
        <v>0.65067600000000037</v>
      </c>
      <c r="K139" s="438"/>
      <c r="L139" s="437" t="str">
        <f>IF(D148&gt;0,(L137*D148),"No Data")</f>
        <v>No Data</v>
      </c>
      <c r="M139" s="438"/>
      <c r="N139" s="437">
        <f>IF(D149&gt;0,(N137*D149),"No Data")</f>
        <v>0.47064000000000017</v>
      </c>
      <c r="O139" s="438"/>
      <c r="P139" s="314"/>
      <c r="Q139" s="76"/>
      <c r="R139" s="76"/>
      <c r="W139" s="3"/>
      <c r="X139" s="2">
        <v>3</v>
      </c>
      <c r="Y139" s="311"/>
      <c r="Z139" s="315"/>
      <c r="AA139" s="381"/>
      <c r="AB139" s="382"/>
      <c r="AC139" s="382"/>
      <c r="AD139" s="383"/>
    </row>
    <row r="140" spans="1:30" ht="15.75" thickBot="1" x14ac:dyDescent="0.3">
      <c r="A140" s="443"/>
      <c r="B140" s="444"/>
      <c r="C140" s="93" t="s">
        <v>20</v>
      </c>
      <c r="D140" s="437" t="s">
        <v>17</v>
      </c>
      <c r="E140" s="438"/>
      <c r="F140" s="437" t="str">
        <f>IF(E145&gt;0,(D137*E145),"No Data")</f>
        <v>No Data</v>
      </c>
      <c r="G140" s="438"/>
      <c r="H140" s="437" t="str">
        <f>IF(E146&gt;0,(F137*E146),"No Data")</f>
        <v>No Data</v>
      </c>
      <c r="I140" s="438"/>
      <c r="J140" s="437" t="str">
        <f>IF(E147&gt;0,(H137*E147),"No Data")</f>
        <v>No Data</v>
      </c>
      <c r="K140" s="438"/>
      <c r="L140" s="437" t="str">
        <f>IF(E148&gt;0,(L137*E148),"No Data")</f>
        <v>No Data</v>
      </c>
      <c r="M140" s="438"/>
      <c r="N140" s="437" t="str">
        <f>IF(E149&gt;0,(N137*E149),"No Data")</f>
        <v>No Data</v>
      </c>
      <c r="O140" s="438"/>
      <c r="P140" s="314"/>
      <c r="Q140" s="76"/>
      <c r="R140" s="76"/>
      <c r="W140" s="3"/>
      <c r="X140" s="2">
        <v>4</v>
      </c>
      <c r="Y140" s="311"/>
      <c r="Z140" s="317"/>
      <c r="AA140" s="381"/>
      <c r="AB140" s="382"/>
      <c r="AC140" s="382"/>
      <c r="AD140" s="383"/>
    </row>
    <row r="141" spans="1:30" ht="15.75" thickBot="1" x14ac:dyDescent="0.3">
      <c r="A141" s="445"/>
      <c r="B141" s="446"/>
      <c r="C141" s="93" t="s">
        <v>21</v>
      </c>
      <c r="D141" s="437" t="s">
        <v>17</v>
      </c>
      <c r="E141" s="438"/>
      <c r="F141" s="437" t="str">
        <f>IF(F145&gt;0,(D137*F145),"No Data")</f>
        <v>No Data</v>
      </c>
      <c r="G141" s="438"/>
      <c r="H141" s="437" t="str">
        <f>IF(F146&gt;0,(F137*F146),"No Data")</f>
        <v>No Data</v>
      </c>
      <c r="I141" s="438"/>
      <c r="J141" s="437" t="str">
        <f>IF(F147&gt;0,(H137*F147),"No Data")</f>
        <v>No Data</v>
      </c>
      <c r="K141" s="438"/>
      <c r="L141" s="437" t="str">
        <f>IF(F148&gt;0,(L137*F148),"No Data")</f>
        <v>No Data</v>
      </c>
      <c r="M141" s="438"/>
      <c r="N141" s="437" t="str">
        <f>IF(F149&gt;0,(N137*F149),"No Data")</f>
        <v>No Data</v>
      </c>
      <c r="O141" s="438"/>
      <c r="P141" s="314"/>
      <c r="Q141" s="76"/>
      <c r="R141" s="76"/>
      <c r="W141" s="3"/>
      <c r="X141" s="2">
        <v>5</v>
      </c>
      <c r="Y141" s="311" t="s">
        <v>70</v>
      </c>
      <c r="Z141" s="312" t="str">
        <f>IF(C135&gt;E135,IF(AND(C135&gt;E135,E135&lt;G135,G135&gt;I135,I135&lt;K135),"","[No Structure found] "),IF(AND(C135&lt;E135,E135&gt;G135,G135&lt;I135,I135&gt;K135),"","[No Structure found] "))</f>
        <v/>
      </c>
      <c r="AA141" s="381" t="s">
        <v>81</v>
      </c>
      <c r="AB141" s="382"/>
      <c r="AC141" s="382"/>
      <c r="AD141" s="383"/>
    </row>
    <row r="142" spans="1:30" ht="19.5" thickBot="1" x14ac:dyDescent="0.3">
      <c r="A142" s="432" t="str">
        <f>CONCATENATE(IF(C135&gt;E135,"Bearish",""),(IF(C135&lt;E135,"Bullish","")))</f>
        <v>Bearish</v>
      </c>
      <c r="B142" s="433"/>
      <c r="N142" s="114"/>
      <c r="W142" s="3"/>
      <c r="X142" s="2">
        <v>6</v>
      </c>
      <c r="Y142" s="311" t="s">
        <v>57</v>
      </c>
      <c r="Z142" s="312" t="str">
        <f>CONCATENATE(IF(AND(C135&gt;E135,K135&gt;C135),"[Structure Violation: D passed X] ",""),IF(AND(C135&lt;E135,K135&lt;C135),"[Structure Violation: D passed X] ",""))</f>
        <v/>
      </c>
      <c r="AA142" s="381" t="s">
        <v>83</v>
      </c>
      <c r="AB142" s="382"/>
      <c r="AC142" s="382"/>
      <c r="AD142" s="383"/>
    </row>
    <row r="143" spans="1:30" ht="15.75" thickBot="1" x14ac:dyDescent="0.3">
      <c r="C143" s="418" t="s">
        <v>50</v>
      </c>
      <c r="D143" s="419"/>
      <c r="E143" s="419"/>
      <c r="F143" s="420"/>
      <c r="G143" s="427" t="s">
        <v>49</v>
      </c>
      <c r="H143" s="428"/>
      <c r="I143" s="428"/>
      <c r="J143" s="429"/>
      <c r="K143" s="427" t="s">
        <v>52</v>
      </c>
      <c r="L143" s="428"/>
      <c r="M143" s="428"/>
      <c r="N143" s="428"/>
      <c r="O143" s="427" t="s">
        <v>67</v>
      </c>
      <c r="P143" s="428"/>
      <c r="Q143" s="428"/>
      <c r="R143" s="429"/>
      <c r="S143" s="384" t="s">
        <v>65</v>
      </c>
      <c r="T143" s="385"/>
      <c r="W143" s="3"/>
      <c r="X143" s="2">
        <v>7</v>
      </c>
      <c r="Y143" s="311" t="s">
        <v>70</v>
      </c>
      <c r="Z143" s="318" t="str">
        <f>CONCATENATE(IF(AND(C135&gt;E135,I135&lt;E135),"[Structure Violation: C passed A] ",""),IF(AND(C135&lt;E135,I135&gt;E135),"[Structure Violation: C passed A] ",""))</f>
        <v/>
      </c>
      <c r="AA143" s="381" t="s">
        <v>84</v>
      </c>
      <c r="AB143" s="382"/>
      <c r="AC143" s="382"/>
      <c r="AD143" s="383"/>
    </row>
    <row r="144" spans="1:30" ht="15.75" thickBot="1" x14ac:dyDescent="0.3">
      <c r="A144" s="115" t="s">
        <v>10</v>
      </c>
      <c r="B144" s="116" t="s">
        <v>51</v>
      </c>
      <c r="C144" s="319">
        <v>1</v>
      </c>
      <c r="D144" s="319">
        <v>2</v>
      </c>
      <c r="E144" s="319">
        <v>3</v>
      </c>
      <c r="F144" s="319">
        <v>4</v>
      </c>
      <c r="G144" s="118">
        <v>1</v>
      </c>
      <c r="H144" s="118">
        <v>2</v>
      </c>
      <c r="I144" s="118">
        <v>3</v>
      </c>
      <c r="J144" s="118">
        <v>4</v>
      </c>
      <c r="K144" s="119">
        <v>1</v>
      </c>
      <c r="L144" s="119">
        <v>2</v>
      </c>
      <c r="M144" s="119">
        <v>3</v>
      </c>
      <c r="N144" s="120">
        <v>4</v>
      </c>
      <c r="O144" s="118">
        <v>1</v>
      </c>
      <c r="P144" s="119">
        <v>2</v>
      </c>
      <c r="Q144" s="118">
        <v>3</v>
      </c>
      <c r="R144" s="119">
        <v>4</v>
      </c>
      <c r="S144" s="121" t="s">
        <v>63</v>
      </c>
      <c r="T144" s="122" t="s">
        <v>64</v>
      </c>
      <c r="W144" s="3"/>
      <c r="X144" s="2">
        <v>8</v>
      </c>
      <c r="Y144" s="311" t="s">
        <v>70</v>
      </c>
      <c r="Z144" s="312" t="str">
        <f>CONCATENATE(IF(AND(C135&gt;E135,G135&gt;C135),"[Structure Violaton: B passed X] ",""),IF(AND(C135&lt;E135,G135&lt;C135),"[Structure Violation: B passed X] ",""))</f>
        <v/>
      </c>
      <c r="AA144" s="381" t="s">
        <v>85</v>
      </c>
      <c r="AB144" s="382"/>
      <c r="AC144" s="382"/>
      <c r="AD144" s="383"/>
    </row>
    <row r="145" spans="1:30" ht="15.75" thickBot="1" x14ac:dyDescent="0.3">
      <c r="A145" s="125" t="s">
        <v>11</v>
      </c>
      <c r="B145" s="320" t="s">
        <v>6</v>
      </c>
      <c r="C145" s="321">
        <v>0.78600000000000003</v>
      </c>
      <c r="D145" s="322"/>
      <c r="E145" s="322"/>
      <c r="F145" s="323"/>
      <c r="G145" s="130">
        <f>IF(C135&gt;E135,IF(C145&gt;0,E135+(D137*C145),0),IF(C145&gt;0,E135-(D137*C145),0))</f>
        <v>1.6716</v>
      </c>
      <c r="H145" s="131">
        <f>IF(C135&gt;E135,IF(D145&gt;0,E135+(D137*D145),0),IF(D145&gt;0,E135-(D137*D145),0))</f>
        <v>0</v>
      </c>
      <c r="I145" s="131">
        <f>IF(C135&gt;E135,IF(E145&gt;0,E135+(D137*E145),0),IF(E145&gt;0,E135-(D137*E145),0))</f>
        <v>0</v>
      </c>
      <c r="J145" s="131">
        <f>IF(C135&gt;E135,IF(F145&gt;0,E135+(D137*F145),0),IF(F145&gt;0,E135-(D137*F145),0))</f>
        <v>0</v>
      </c>
      <c r="K145" s="133">
        <f>IF(C145&gt;0,IF(G145&lt;G135,G135-G145,G145-G135),0)</f>
        <v>0.10159999999999991</v>
      </c>
      <c r="L145" s="134">
        <f>IF(D145&gt;0,IF(H145&lt;G135,G135-H145,H145-G135),0)</f>
        <v>0</v>
      </c>
      <c r="M145" s="134">
        <f>IF(E145&gt;0,IF(I145&lt;G135,G135-I145,I145-G135),0)</f>
        <v>0</v>
      </c>
      <c r="N145" s="135">
        <f>IF(F145&gt;0,IF(J145&lt;G135,G135-J145,J145-G135),0)</f>
        <v>0</v>
      </c>
      <c r="O145" s="130">
        <f t="shared" ref="O145:O147" si="47">IF(C145=0,"No Data",G145)</f>
        <v>1.6716</v>
      </c>
      <c r="P145" s="131" t="str">
        <f t="shared" ref="P145:P147" si="48">IF(D145=0,"No Data",H145)</f>
        <v>No Data</v>
      </c>
      <c r="Q145" s="131" t="str">
        <f t="shared" ref="Q145:Q153" si="49">IF(E145=0,"No Data",I145)</f>
        <v>No Data</v>
      </c>
      <c r="R145" s="132" t="str">
        <f t="shared" ref="R145:R147" si="50">IF(F145=0,"No Data",J145)</f>
        <v>No Data</v>
      </c>
      <c r="S145" s="136">
        <f t="shared" ref="S145:S149" si="51">MAX(O145:R145)</f>
        <v>1.6716</v>
      </c>
      <c r="T145" s="137">
        <f t="shared" ref="T145:T146" si="52">MIN(O145:R145)</f>
        <v>1.6716</v>
      </c>
      <c r="W145" s="3"/>
      <c r="X145" s="2">
        <v>9</v>
      </c>
      <c r="Y145" s="311" t="s">
        <v>57</v>
      </c>
      <c r="Z145" s="312" t="str">
        <f>CONCATENATE(IF(AND(C135&gt;E135,I135&gt;E135),"[Structure Violation: C above A] ",""),IF(AND(C135&lt;E135,I135&lt;E135),"[Structure Violation: C below A] ",""))</f>
        <v xml:space="preserve">[Structure Violation: C above A] </v>
      </c>
      <c r="AA145" s="381" t="s">
        <v>86</v>
      </c>
      <c r="AB145" s="382"/>
      <c r="AC145" s="382"/>
      <c r="AD145" s="383"/>
    </row>
    <row r="146" spans="1:30" ht="15.75" thickBot="1" x14ac:dyDescent="0.3">
      <c r="A146" s="125" t="s">
        <v>12</v>
      </c>
      <c r="B146" s="324" t="s">
        <v>7</v>
      </c>
      <c r="C146" s="325">
        <v>0.38200000000000001</v>
      </c>
      <c r="D146" s="326">
        <v>0.88600000000000001</v>
      </c>
      <c r="E146" s="326"/>
      <c r="F146" s="327"/>
      <c r="G146" s="143">
        <f>IF(C135&gt;E135,IF(C146&gt;0,G135-(F137*C146),0),IF(C146&gt;0,G135+(F137*C146),0))</f>
        <v>1.42866</v>
      </c>
      <c r="H146" s="144">
        <f>IF(C135&gt;E135,IF(D146&gt;0,G135-(F137*D146),0),IF(D146&gt;0,G135+(F137*D146),0))</f>
        <v>1.2421799999999998</v>
      </c>
      <c r="I146" s="144">
        <f>IF(C135&gt;E135,IF(E146&gt;0,G135-(F137*E146),0),IF(E146&gt;0,G135+(F137*E146),0))</f>
        <v>0</v>
      </c>
      <c r="J146" s="328">
        <f>IF(C135&gt;E135,IF(F146&gt;0,G135-(F137*F146),0),IF(F146&gt;0,G135+(F137*F146),0))</f>
        <v>0</v>
      </c>
      <c r="K146" s="146">
        <f>IF(C146&gt;0,IF(G146&lt;I135,I135-G146,G146-I135),0)</f>
        <v>0.14966000000000013</v>
      </c>
      <c r="L146" s="147">
        <f>IF(D146&gt;0,IF(H146&lt;I135,I135-H146,H146-I135),0)</f>
        <v>3.6820000000000075E-2</v>
      </c>
      <c r="M146" s="147">
        <f>IF(E146&gt;0,IF(I146&lt;I135,I135-I146,I146-I135),0)</f>
        <v>0</v>
      </c>
      <c r="N146" s="148">
        <f>IF(F146&gt;0,IF(J146&lt;I135,I135-J146,J146-I135),0)</f>
        <v>0</v>
      </c>
      <c r="O146" s="143">
        <f t="shared" si="47"/>
        <v>1.42866</v>
      </c>
      <c r="P146" s="144">
        <f t="shared" si="48"/>
        <v>1.2421799999999998</v>
      </c>
      <c r="Q146" s="144" t="str">
        <f t="shared" si="49"/>
        <v>No Data</v>
      </c>
      <c r="R146" s="145" t="str">
        <f t="shared" si="50"/>
        <v>No Data</v>
      </c>
      <c r="S146" s="149">
        <f t="shared" si="51"/>
        <v>1.42866</v>
      </c>
      <c r="T146" s="150">
        <f t="shared" si="52"/>
        <v>1.2421799999999998</v>
      </c>
      <c r="W146" s="3"/>
      <c r="X146" s="2">
        <v>10</v>
      </c>
      <c r="Y146" s="311" t="s">
        <v>57</v>
      </c>
      <c r="Z146" s="318" t="str">
        <f>CONCATENATE(IF(AND(C135&gt;E135,G135&gt;K135),"[Structure Violation: B above D] ",""),IF(AND(C135&lt;E135,G135&lt;K135),"[Structure Violation: B below D] ",""))</f>
        <v/>
      </c>
      <c r="AA146" s="381" t="s">
        <v>87</v>
      </c>
      <c r="AB146" s="382"/>
      <c r="AC146" s="382"/>
      <c r="AD146" s="383"/>
    </row>
    <row r="147" spans="1:30" ht="15.75" thickBot="1" x14ac:dyDescent="0.3">
      <c r="A147" s="125" t="s">
        <v>13</v>
      </c>
      <c r="B147" s="324" t="s">
        <v>8</v>
      </c>
      <c r="C147" s="325">
        <v>1.6180000000000001</v>
      </c>
      <c r="D147" s="326">
        <v>2.2360000000000002</v>
      </c>
      <c r="E147" s="326"/>
      <c r="F147" s="327"/>
      <c r="G147" s="143">
        <f>IF(C135&gt;E135,IF(C147&gt;0,I135+(H137*C147),0),IF(C147&gt;0,I135-(H137*C147),0))</f>
        <v>1.7498380000000002</v>
      </c>
      <c r="H147" s="144">
        <f>IF(C135&gt;E135,IF(D147&gt;0,I135+(H137*D147),0),IF(D147&gt;0,I135-(H137*D147),0))</f>
        <v>1.9296760000000002</v>
      </c>
      <c r="I147" s="144">
        <f>IF(C135&gt;E135,IF(E147&gt;0,I135+(H137*E147),0),IF(E147&gt;0,I135-(H137*E147),0))</f>
        <v>0</v>
      </c>
      <c r="J147" s="328">
        <f>IF(C135&gt;E135,IF(F147&gt;0,I135+(H137*F147),0),IF(F147&gt;0,I135-(H137*F147),0))</f>
        <v>0</v>
      </c>
      <c r="K147" s="146">
        <f>IF(C147&gt;0,IF(G147&lt;K135,K135-G147,G147-K135),0)</f>
        <v>7.9838000000000298E-2</v>
      </c>
      <c r="L147" s="147">
        <f>IF(D147&gt;0,IF(H147&lt;K135,K135-H147,H147-K135),0)</f>
        <v>0.25967600000000024</v>
      </c>
      <c r="M147" s="147">
        <f>IF(E147&gt;0,IF(I147&lt;K135,K135-I147,I147-K135),0)</f>
        <v>0</v>
      </c>
      <c r="N147" s="148">
        <f>IF(F147&gt;0,IF(J147&lt;K135,K135-J147,J147-K135),0)</f>
        <v>0</v>
      </c>
      <c r="O147" s="143">
        <f t="shared" si="47"/>
        <v>1.7498380000000002</v>
      </c>
      <c r="P147" s="144">
        <f t="shared" si="48"/>
        <v>1.9296760000000002</v>
      </c>
      <c r="Q147" s="144" t="str">
        <f t="shared" si="49"/>
        <v>No Data</v>
      </c>
      <c r="R147" s="145" t="str">
        <f t="shared" si="50"/>
        <v>No Data</v>
      </c>
      <c r="S147" s="151">
        <f t="shared" si="51"/>
        <v>1.9296760000000002</v>
      </c>
      <c r="T147" s="150">
        <f>MIN(O147:R147)</f>
        <v>1.7498380000000002</v>
      </c>
      <c r="W147" s="3"/>
      <c r="X147" s="2">
        <v>11</v>
      </c>
      <c r="Y147" s="311" t="s">
        <v>70</v>
      </c>
      <c r="Z147" s="312" t="str">
        <f>CONCATENATE(IF(AND(C135&gt;E135,K135&lt;C135),"[Structure Violation: D below X] ",""),IF(AND(C135&lt;E135,K135&gt;C135),"[Structure Violation: D above X] ",""))</f>
        <v xml:space="preserve">[Structure Violation: D below X] </v>
      </c>
      <c r="AA147" s="381" t="s">
        <v>88</v>
      </c>
      <c r="AB147" s="382"/>
      <c r="AC147" s="382"/>
      <c r="AD147" s="383"/>
    </row>
    <row r="148" spans="1:30" ht="15.75" thickBot="1" x14ac:dyDescent="0.3">
      <c r="A148" s="125" t="s">
        <v>14</v>
      </c>
      <c r="B148" s="324" t="s">
        <v>6</v>
      </c>
      <c r="C148" s="325">
        <v>1.272</v>
      </c>
      <c r="D148" s="326"/>
      <c r="E148" s="326"/>
      <c r="F148" s="327"/>
      <c r="G148" s="152">
        <f>IF(C135&gt;E135,IF(C148&gt;0,E135+(D137*C148),0),IF(C148&gt;0,E135-(D137*C148),0))</f>
        <v>1.9632000000000001</v>
      </c>
      <c r="H148" s="144">
        <f>IF(C135&gt;E135,IF(D148&gt;0,E135+(D137*D148),0),IF(D148&gt;0,E135-(D137*D148),0))</f>
        <v>0</v>
      </c>
      <c r="I148" s="144">
        <f>IF(C135&gt;E135,IF(E148&gt;0,E135+(D137*E148),0),IF(E148&gt;0,E135-(D137*E148),0))</f>
        <v>0</v>
      </c>
      <c r="J148" s="329">
        <f>IF(C135&gt;E135,IF(F148&gt;0,E135+(D137*F148),0),IF(F148&gt;0,E135-(D137*F148),0))</f>
        <v>0</v>
      </c>
      <c r="K148" s="146">
        <f>IF(C148&gt;0,IF(G148&lt;K135,K135-G148,G148-K135),0)</f>
        <v>0.29320000000000013</v>
      </c>
      <c r="L148" s="147">
        <f>IF(D148&gt;0,IF(H148&lt;K135,K135-H148,H148-K135),0)</f>
        <v>0</v>
      </c>
      <c r="M148" s="147">
        <f>IF(E148&gt;0,IF(I148&lt;K135,K135-I148,I148-K135),0)</f>
        <v>0</v>
      </c>
      <c r="N148" s="148">
        <f>IF(F148&gt;0,IF(J148&lt;K135,K135-J148,J148-K135),0)</f>
        <v>0</v>
      </c>
      <c r="O148" s="152">
        <f>IF(C148=0,"No Data",G148)</f>
        <v>1.9632000000000001</v>
      </c>
      <c r="P148" s="144" t="str">
        <f>IF(D148=0,"No Data",H148)</f>
        <v>No Data</v>
      </c>
      <c r="Q148" s="144" t="str">
        <f t="shared" si="49"/>
        <v>No Data</v>
      </c>
      <c r="R148" s="153" t="str">
        <f>IF(F148=0,"No Data",J148)</f>
        <v>No Data</v>
      </c>
      <c r="S148" s="149">
        <f t="shared" si="51"/>
        <v>1.9632000000000001</v>
      </c>
      <c r="T148" s="150">
        <f t="shared" ref="T148:T149" si="53">MIN(O148:R148)</f>
        <v>1.9632000000000001</v>
      </c>
      <c r="W148" s="3"/>
      <c r="X148" s="2">
        <v>12</v>
      </c>
      <c r="Y148" s="311" t="s">
        <v>57</v>
      </c>
      <c r="Z148" s="312" t="str">
        <f>CONCATENATE(IF(AND(C135&gt;E135,K135&gt;G135),"[Structure Violation: D passed B] ",""),IF(AND(C135&lt;E135,K135&lt;G135),"[Structure Violation: D passed B] ",""))</f>
        <v xml:space="preserve">[Structure Violation: D passed B] </v>
      </c>
      <c r="AA148" s="381" t="s">
        <v>89</v>
      </c>
      <c r="AB148" s="382"/>
      <c r="AC148" s="382"/>
      <c r="AD148" s="383"/>
    </row>
    <row r="149" spans="1:30" ht="15.75" thickBot="1" x14ac:dyDescent="0.3">
      <c r="A149" s="125" t="s">
        <v>29</v>
      </c>
      <c r="B149" s="331" t="s">
        <v>7</v>
      </c>
      <c r="C149" s="332">
        <v>1</v>
      </c>
      <c r="D149" s="333">
        <v>1.272</v>
      </c>
      <c r="E149" s="333"/>
      <c r="F149" s="334"/>
      <c r="G149" s="159">
        <f>IF(C135&gt;E135,IF(C149&gt;0,I135+(F137*C149),0),IF(C149&gt;0,I135-(F137*C149),0))</f>
        <v>1.649</v>
      </c>
      <c r="H149" s="160">
        <f>IF(C135&gt;E135,IF(D149&gt;0,I135+(F137*D149),0),IF(D149&gt;0,I135-(F137*D149),0))</f>
        <v>1.7496400000000001</v>
      </c>
      <c r="I149" s="160">
        <f>IF(C135&gt;E135,IF(E149&gt;0,I135+(F137*E149),0),IF(E149&gt;0,I135-(F137*E149),0))</f>
        <v>0</v>
      </c>
      <c r="J149" s="160">
        <f>IF(C135&gt;E135,IF(F149&gt;0,I135+(F137*F149),0),IF(F149&gt;0,I135-(F137*F149),0))</f>
        <v>0</v>
      </c>
      <c r="K149" s="162">
        <f>IF(C149&gt;0,IF(G149&lt;K135,K135-G149,G149-K135),0)</f>
        <v>2.0999999999999908E-2</v>
      </c>
      <c r="L149" s="163">
        <f>IF(D149&gt;0,IF(H149&lt;K135,K135-H149,H149-K135),0)</f>
        <v>7.9640000000000155E-2</v>
      </c>
      <c r="M149" s="163">
        <f>IF(E149&gt;0,IF(I149&lt;K135,K135-I149,I149-K135),0)</f>
        <v>0</v>
      </c>
      <c r="N149" s="164">
        <f>IF(F149&gt;0,IF(J149&lt;K135,K135-J149,J149-K135),0)</f>
        <v>0</v>
      </c>
      <c r="O149" s="159">
        <f t="shared" ref="O149" si="54">IF(C149=0,"No Data",G149)</f>
        <v>1.649</v>
      </c>
      <c r="P149" s="160">
        <f t="shared" ref="P149" si="55">IF(D149=0,"No Data",H149)</f>
        <v>1.7496400000000001</v>
      </c>
      <c r="Q149" s="160" t="str">
        <f t="shared" si="49"/>
        <v>No Data</v>
      </c>
      <c r="R149" s="161" t="str">
        <f t="shared" ref="R149:R153" si="56">IF(F149=0,"No Data",J149)</f>
        <v>No Data</v>
      </c>
      <c r="S149" s="165">
        <f t="shared" si="51"/>
        <v>1.7496400000000001</v>
      </c>
      <c r="T149" s="166">
        <f t="shared" si="53"/>
        <v>1.649</v>
      </c>
      <c r="W149" s="3"/>
      <c r="X149" s="2">
        <v>13</v>
      </c>
      <c r="Y149" s="311" t="s">
        <v>57</v>
      </c>
      <c r="Z149" s="312" t="str">
        <f>CONCATENATE(IF(AND(C135&gt;E135,G135&lt;C135),"[Structure Violation: B below X] ",""),IF(AND(C135&lt;E135,G135&gt;C135),"[Structure Violation: B above X] ",""))</f>
        <v xml:space="preserve">[Structure Violation: B below X] </v>
      </c>
      <c r="AA149" s="381" t="s">
        <v>90</v>
      </c>
      <c r="AB149" s="382"/>
      <c r="AC149" s="382"/>
      <c r="AD149" s="383"/>
    </row>
    <row r="150" spans="1:30" ht="16.5" thickTop="1" thickBot="1" x14ac:dyDescent="0.3">
      <c r="A150" s="12" t="s">
        <v>47</v>
      </c>
      <c r="B150" s="335" t="s">
        <v>6</v>
      </c>
      <c r="C150" s="336">
        <v>2</v>
      </c>
      <c r="D150" s="337">
        <v>2.6179999999999999</v>
      </c>
      <c r="E150" s="337">
        <v>2.786</v>
      </c>
      <c r="F150" s="338"/>
      <c r="G150" s="339">
        <f>E133*C150</f>
        <v>18</v>
      </c>
      <c r="H150" s="174">
        <f>E133*D150</f>
        <v>23.561999999999998</v>
      </c>
      <c r="I150" s="175">
        <f>E133*E150</f>
        <v>25.074000000000002</v>
      </c>
      <c r="J150" s="176">
        <f>E133*F150</f>
        <v>0</v>
      </c>
      <c r="K150" s="177">
        <f>IF(C150=0,0,IF(K133&gt;G150,K133-G150,G150-K133))</f>
        <v>12</v>
      </c>
      <c r="L150" s="178">
        <f>IF(D150=0,0,IF(K133&gt;H150,K133-H150,H150-K133))</f>
        <v>6.4380000000000024</v>
      </c>
      <c r="M150" s="178">
        <f>IF(E150=0,0,IF(K133&gt;I150,K133-I150,I150-K133))</f>
        <v>4.9259999999999984</v>
      </c>
      <c r="N150" s="179">
        <f>IF(F150=0,0,IF(K133&gt;J150,K133-J150,J150-K133))</f>
        <v>0</v>
      </c>
      <c r="O150" s="339">
        <f>IF(C150=0,"No Data",G150)</f>
        <v>18</v>
      </c>
      <c r="P150" s="174">
        <f>IF(D150=0,"No Data",H150)</f>
        <v>23.561999999999998</v>
      </c>
      <c r="Q150" s="175">
        <f t="shared" si="49"/>
        <v>25.074000000000002</v>
      </c>
      <c r="R150" s="176" t="str">
        <f t="shared" si="56"/>
        <v>No Data</v>
      </c>
      <c r="S150" s="180"/>
      <c r="T150" s="181"/>
      <c r="W150" s="3"/>
      <c r="X150" s="2">
        <v>14</v>
      </c>
      <c r="Y150" s="311" t="s">
        <v>57</v>
      </c>
      <c r="Z150" s="312" t="str">
        <f>CONCATENATE(IF(AND(E135&gt;G135,M135&gt;I135),"[Structure Violation: E passed C] ",""),IF(AND(E135&lt;G135,M135&lt;I135),"[Structure Violation: E passed C] ",""))</f>
        <v xml:space="preserve">[Structure Violation: E passed C] </v>
      </c>
      <c r="AA150" s="381" t="s">
        <v>94</v>
      </c>
      <c r="AB150" s="382"/>
      <c r="AC150" s="382"/>
      <c r="AD150" s="383"/>
    </row>
    <row r="151" spans="1:30" ht="15.75" thickBot="1" x14ac:dyDescent="0.3">
      <c r="A151" s="12" t="s">
        <v>47</v>
      </c>
      <c r="B151" s="340" t="s">
        <v>74</v>
      </c>
      <c r="C151" s="341">
        <v>2</v>
      </c>
      <c r="D151" s="342"/>
      <c r="E151" s="342"/>
      <c r="F151" s="351"/>
      <c r="G151" s="191">
        <f>G133*C151</f>
        <v>32</v>
      </c>
      <c r="H151" s="186">
        <f>G133*D151</f>
        <v>0</v>
      </c>
      <c r="I151" s="186">
        <f>G133*E151</f>
        <v>0</v>
      </c>
      <c r="J151" s="344">
        <f>G133*F151</f>
        <v>0</v>
      </c>
      <c r="K151" s="345">
        <f>IF(C151=0,0,IF(K133&gt;G151,K133-G151,G151-K133))</f>
        <v>2</v>
      </c>
      <c r="L151" s="189">
        <f>IF(D151=0,0,IF(K133&gt;H151,K133-H151,H151-K133))</f>
        <v>0</v>
      </c>
      <c r="M151" s="189">
        <f>IF(E151=0,0,IF(K133&gt;I151,K133-I151,I151-K133))</f>
        <v>0</v>
      </c>
      <c r="N151" s="178">
        <f>IF(F151=0,0,IF(K133&gt;J151,K133-J151,J151-K133))</f>
        <v>0</v>
      </c>
      <c r="O151" s="191">
        <f>IF(C151=0,"No Data",G151)</f>
        <v>32</v>
      </c>
      <c r="P151" s="186" t="str">
        <f t="shared" ref="P151:P153" si="57">IF(D151=0,"No Data",H151)</f>
        <v>No Data</v>
      </c>
      <c r="Q151" s="186" t="str">
        <f t="shared" si="49"/>
        <v>No Data</v>
      </c>
      <c r="R151" s="344" t="str">
        <f t="shared" si="56"/>
        <v>No Data</v>
      </c>
      <c r="S151" s="195"/>
      <c r="T151" s="196"/>
      <c r="W151" s="3"/>
      <c r="X151" s="2">
        <v>15</v>
      </c>
      <c r="Y151" s="311" t="s">
        <v>57</v>
      </c>
      <c r="Z151" s="317"/>
      <c r="AA151" s="346"/>
      <c r="AB151" s="347"/>
      <c r="AC151" s="347"/>
      <c r="AD151" s="348"/>
    </row>
    <row r="152" spans="1:30" ht="15.75" thickBot="1" x14ac:dyDescent="0.3">
      <c r="A152" s="12" t="s">
        <v>46</v>
      </c>
      <c r="B152" s="139" t="s">
        <v>6</v>
      </c>
      <c r="C152" s="349">
        <v>1</v>
      </c>
      <c r="D152" s="350">
        <v>1.6180000000000001</v>
      </c>
      <c r="E152" s="350">
        <v>1.786</v>
      </c>
      <c r="F152" s="343"/>
      <c r="G152" s="201">
        <f>E133*C152</f>
        <v>9</v>
      </c>
      <c r="H152" s="202">
        <f>E133*D152</f>
        <v>14.562000000000001</v>
      </c>
      <c r="I152" s="202">
        <f>E133*E152</f>
        <v>16.074000000000002</v>
      </c>
      <c r="J152" s="203">
        <f>E133*F152</f>
        <v>0</v>
      </c>
      <c r="K152" s="204">
        <f>IF(C152=0,0,IF(G133&gt;G152,G133-G152,G152-G133))</f>
        <v>7</v>
      </c>
      <c r="L152" s="205">
        <f>IF(D152=0,0,IF(G133&gt;H152,G133-H152,H152-G133))</f>
        <v>1.4379999999999988</v>
      </c>
      <c r="M152" s="205">
        <f>IF(E152=0,0,IF(G133&gt;I152,G133-I152,I152-G133))</f>
        <v>7.400000000000162E-2</v>
      </c>
      <c r="N152" s="206">
        <f>IF(F152=0,0,IF(G133&gt;J152,G133-J152,J152-G133))</f>
        <v>0</v>
      </c>
      <c r="O152" s="201">
        <f t="shared" ref="O152:O153" si="58">IF(C152=0,"No Data",G152)</f>
        <v>9</v>
      </c>
      <c r="P152" s="202">
        <f t="shared" si="57"/>
        <v>14.562000000000001</v>
      </c>
      <c r="Q152" s="202">
        <f t="shared" si="49"/>
        <v>16.074000000000002</v>
      </c>
      <c r="R152" s="203" t="str">
        <f t="shared" si="56"/>
        <v>No Data</v>
      </c>
      <c r="S152" s="207"/>
      <c r="T152" s="208"/>
      <c r="W152" s="3"/>
    </row>
    <row r="153" spans="1:30" ht="15.75" thickBot="1" x14ac:dyDescent="0.3">
      <c r="A153" s="12" t="s">
        <v>66</v>
      </c>
      <c r="B153" s="354" t="s">
        <v>6</v>
      </c>
      <c r="C153" s="355"/>
      <c r="D153" s="356"/>
      <c r="E153" s="356"/>
      <c r="F153" s="357"/>
      <c r="G153" s="213">
        <f>E133*C153</f>
        <v>0</v>
      </c>
      <c r="H153" s="214">
        <f>E133*D153</f>
        <v>0</v>
      </c>
      <c r="I153" s="214">
        <f>E133*E153</f>
        <v>0</v>
      </c>
      <c r="J153" s="215">
        <f>E133*F153</f>
        <v>0</v>
      </c>
      <c r="K153" s="216">
        <f>IF(C153=0,0,IF(I133&gt;G153,I133-G153,G153-I133))</f>
        <v>0</v>
      </c>
      <c r="L153" s="217">
        <f>IF(D153=0,0,IF(I133&gt;H153,I133-H153,H153-I133))</f>
        <v>0</v>
      </c>
      <c r="M153" s="217">
        <f>IF(E153=0,0,IF(I133&gt;I153,I133-I153,I153-I133))</f>
        <v>0</v>
      </c>
      <c r="N153" s="218">
        <f>IF(F153=0,0,IF(I133&gt;J153,I133-J153,J153-I133))</f>
        <v>0</v>
      </c>
      <c r="O153" s="213" t="str">
        <f t="shared" si="58"/>
        <v>No Data</v>
      </c>
      <c r="P153" s="214" t="str">
        <f t="shared" si="57"/>
        <v>No Data</v>
      </c>
      <c r="Q153" s="214" t="str">
        <f t="shared" si="49"/>
        <v>No Data</v>
      </c>
      <c r="R153" s="215" t="str">
        <f t="shared" si="56"/>
        <v>No Data</v>
      </c>
      <c r="S153" s="219"/>
      <c r="T153" s="220"/>
      <c r="W153" s="3"/>
    </row>
    <row r="154" spans="1:30" ht="15.75" thickBot="1" x14ac:dyDescent="0.3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226"/>
      <c r="W154" s="3"/>
    </row>
    <row r="155" spans="1:30" ht="15.75" thickBot="1" x14ac:dyDescent="0.3">
      <c r="A155" s="76"/>
      <c r="C155" s="454" t="s">
        <v>53</v>
      </c>
      <c r="D155" s="455"/>
      <c r="E155" s="455"/>
      <c r="F155" s="456"/>
      <c r="G155" s="454" t="s">
        <v>68</v>
      </c>
      <c r="H155" s="455"/>
      <c r="I155" s="456"/>
      <c r="K155" s="223"/>
      <c r="L155" s="224"/>
      <c r="M155" s="224"/>
      <c r="N155" s="224"/>
      <c r="O155" s="224"/>
      <c r="P155" s="225"/>
      <c r="Q155" s="226"/>
      <c r="R155" s="226"/>
      <c r="S155" s="227"/>
      <c r="T155" s="226"/>
      <c r="U155" s="76"/>
      <c r="W155" s="3"/>
    </row>
    <row r="156" spans="1:30" ht="15.75" thickBot="1" x14ac:dyDescent="0.3">
      <c r="A156" s="115" t="s">
        <v>10</v>
      </c>
      <c r="B156" s="116" t="s">
        <v>51</v>
      </c>
      <c r="C156" s="228">
        <v>1</v>
      </c>
      <c r="D156" s="228">
        <v>2</v>
      </c>
      <c r="E156" s="228">
        <v>3</v>
      </c>
      <c r="F156" s="228">
        <v>4</v>
      </c>
      <c r="G156" s="229" t="s">
        <v>69</v>
      </c>
      <c r="H156" s="230" t="s">
        <v>35</v>
      </c>
      <c r="I156" s="230" t="s">
        <v>55</v>
      </c>
      <c r="K156" s="452" t="s">
        <v>134</v>
      </c>
      <c r="L156" s="453"/>
      <c r="M156" s="452" t="s">
        <v>135</v>
      </c>
      <c r="N156" s="453"/>
      <c r="O156" s="452" t="s">
        <v>136</v>
      </c>
      <c r="P156" s="453"/>
      <c r="W156" s="3"/>
    </row>
    <row r="157" spans="1:30" ht="15.75" customHeight="1" thickBot="1" x14ac:dyDescent="0.3">
      <c r="A157" s="125" t="s">
        <v>11</v>
      </c>
      <c r="B157" s="320" t="s">
        <v>6</v>
      </c>
      <c r="C157" s="231">
        <f>IF(C145=0,"No Data",K145/(F138/100))</f>
        <v>21.543681085665796</v>
      </c>
      <c r="D157" s="232" t="str">
        <f>IF(D145=0,"No Data",L145/(F139/100))</f>
        <v>No Data</v>
      </c>
      <c r="E157" s="233" t="str">
        <f>IF(E145=0,"No Data",M145/(F140/100))</f>
        <v>No Data</v>
      </c>
      <c r="F157" s="232" t="str">
        <f>IF(F145=0,"No Data",N145/(F141/100))</f>
        <v>No Data</v>
      </c>
      <c r="G157" s="234" t="str">
        <f>IF(COUNT(O145:R145)=1,"1Fib",IF(COUNT(O145:R145)&lt;2,"No Data",IF(AND(S145&gt;G135,G135&gt;T145),"Yes","No")))</f>
        <v>1Fib</v>
      </c>
      <c r="H157" s="235">
        <f>IF(COUNTBLANK(C145:F145)=4,"No Data",MIN(C157:F157))</f>
        <v>21.543681085665796</v>
      </c>
      <c r="I157" s="236"/>
      <c r="K157" s="238" t="str">
        <f>CONCATENATE(IF(L157=1,IF(OR(AND(G157="1Fib",H157&lt;$Z$51),AND(G157="Yes",H157&lt;$Z$51),AND(G157="No",H157&lt;$Z$51)),"Valid","Invalid"),""),IF(L157=2,IF(OR(AND(G157="1Fib",H157&lt;$Z$51),AND(G157="Yes",H157&lt;$Z$51),AND(G157="Yes",H157&gt;$Z$51)),"Valid","Invalid"),""),IF(L157=3,IF(OR(AND(G157="1Fib",H157&lt;$Z$51),AND(G157="Yes",H157&lt;$Z$51),AND(G157="Yes",H157&gt;$Z$51),AND(G157="No",H157&lt;$Z$51)),"Valid","Invalid"),""))</f>
        <v>Invalid</v>
      </c>
      <c r="L157" s="342">
        <v>1</v>
      </c>
      <c r="M157" s="238" t="str">
        <f>CONCATENATE(IF(N157=1,IF(OR(AND(G157="1Fib",H157&lt;$Z$51),AND(G157="Yes",H157&lt;$Z$51),AND(G157="No",H157&lt;$Z$51)),"Valid","Invalid"),""),IF(N157=2,IF(OR(AND(G157="1Fib",H157&lt;$Z$51),AND(G157="Yes",H157&lt;$Z$51),AND(G157="Yes",H157&gt;$Z$51)),"Valid","Invalid"),""),IF(N157=3,IF(OR(AND(G157="1Fib",H157&lt;$Z$51),AND(G157="Yes",H157&lt;$Z$51),AND(G157="Yes",H157&gt;$Z$51),AND(G157="No",H157&lt;$Z$51)),"Valid","Invalid"),""))</f>
        <v>Invalid</v>
      </c>
      <c r="N157" s="342">
        <v>1</v>
      </c>
      <c r="O157" s="238" t="str">
        <f>CONCATENATE(IF(P157=1,IF(OR(AND(G157="1Fib",H157&lt;$Z$51),AND(G157="Yes",H157&lt;$Z$51),AND(G157="No",H157&lt;$Z$51)),"Valid","Invalid"),""),IF(P157=2,IF(OR(AND(G157="1Fib",H157&lt;$Z$51),AND(G157="Yes",H157&lt;$Z$51),AND(G157="Yes",H157&gt;$Z$51)),"Valid","Invalid"),""),IF(P157=3,IF(OR(AND(G157="1Fib",H157&lt;$Z$51),AND(G157="Yes",H157&lt;$Z$51),AND(G157="Yes",H157&gt;$Z$51),AND(G157="No",H157&lt;$Z$51)),"Valid","Invalid"),""))</f>
        <v>Invalid</v>
      </c>
      <c r="P157" s="342">
        <v>3</v>
      </c>
      <c r="Q157" s="242" t="s">
        <v>106</v>
      </c>
      <c r="R157" s="243">
        <f>IF(Z162="Y",I159,MAX(H157, H158, I159))</f>
        <v>21.543681085665796</v>
      </c>
      <c r="S157" s="372" t="str">
        <f>IF(R163="","Structure approved","Structure fault!")</f>
        <v>Structure fault!</v>
      </c>
      <c r="T157" s="373"/>
      <c r="U157" s="374"/>
      <c r="W157" s="3"/>
      <c r="Y157" s="226"/>
      <c r="Z157" s="418" t="s">
        <v>45</v>
      </c>
      <c r="AA157" s="419"/>
      <c r="AB157" s="420"/>
      <c r="AC157" s="226"/>
    </row>
    <row r="158" spans="1:30" ht="15.75" customHeight="1" thickBot="1" x14ac:dyDescent="0.3">
      <c r="A158" s="125" t="s">
        <v>12</v>
      </c>
      <c r="B158" s="324" t="s">
        <v>7</v>
      </c>
      <c r="C158" s="244">
        <f>IF(C146=0,"No Data",K146/(H138/100))</f>
        <v>105.88651478703841</v>
      </c>
      <c r="D158" s="245">
        <f>IF(D146=0,"No Data",L146/(H139/100))</f>
        <v>11.231773534256623</v>
      </c>
      <c r="E158" s="246" t="str">
        <f>IF(E146=0,"No Data",M146/(H140/100))</f>
        <v>No Data</v>
      </c>
      <c r="F158" s="245" t="str">
        <f>IF(F146=0,"No Data",N146/(H141/100))</f>
        <v>No Data</v>
      </c>
      <c r="G158" s="247" t="str">
        <f>IF(COUNT(O146:R146)=1,"1Fib",IF(COUNT(O146:R146)&lt;2,"No Data",IF(AND(S146&gt;I135,I135&gt;T146),"Yes","No")))</f>
        <v>Yes</v>
      </c>
      <c r="H158" s="270">
        <f>IF(COUNTBLANK(C146:F146)=4,"No Data",MIN(C158:F158))</f>
        <v>11.231773534256623</v>
      </c>
      <c r="I158" s="248"/>
      <c r="K158" s="249" t="str">
        <f>CONCATENATE(IF(L158=1,IF(OR(AND(G158="1Fib",H158&lt;$Z$51),AND(G158="Yes",H158&lt;$Z$51),AND(G158="No",H158&lt;$Z$51)),"Valid","Invalid"),""),IF(L158=2,IF(OR(AND(G158="1Fib",H158&lt;$Z$51),AND(G158="Yes",H158&lt;$Z$51),AND(G158="Yes",H158&gt;$Z$51)),"Valid","Invalid"),""),IF(L158=3,IF(OR(AND(G158="1Fib",H158&lt;$Z$51),AND(G158="Yes",H158&lt;$Z$51),AND(G158="Yes",H158&gt;$Z$51),AND(G158="No",H158&lt;$Z$51)),"Valid","Invalid"),""))</f>
        <v>Valid</v>
      </c>
      <c r="L158" s="342">
        <v>2</v>
      </c>
      <c r="M158" s="249" t="str">
        <f>CONCATENATE(IF(N158=1,IF(OR(AND(G158="1Fib",H158&lt;$Z$51),AND(G158="Yes",H158&lt;$Z$51),AND(G158="No",H158&lt;$Z$51)),"Valid","Invalid"),""),IF(N158=2,IF(OR(AND(G158="1Fib",H158&lt;$Z$51),AND(G158="Yes",H158&lt;$Z$51),AND(G158="Yes",H158&gt;$Z$51)),"Valid","Invalid"),""),IF(N158=3,IF(OR(AND(G158="1Fib",H158&lt;$Z$51),AND(G158="Yes",H158&lt;$Z$51),AND(G158="Yes",H158&gt;$Z$51),AND(G158="No",H158&lt;$Z$51)),"Valid","Invalid"),""))</f>
        <v>Invalid</v>
      </c>
      <c r="N158" s="342">
        <v>1</v>
      </c>
      <c r="O158" s="249" t="str">
        <f>CONCATENATE(IF(P158=1,IF(OR(AND(G158="1Fib",H158&lt;$Z$51),AND(G158="Yes",H158&lt;$Z$51),AND(G158="No",H158&lt;$Z$51)),"Valid","Invalid"),""),IF(P158=2,IF(OR(AND(G158="1Fib",H158&lt;$Z$51),AND(G158="Yes",H158&lt;$Z$51),AND(G158="Yes",H158&gt;$Z$51)),"Valid","Invalid"),""),IF(P158=3,IF(OR(AND(G158="1Fib",H158&lt;$Z$51),AND(G158="Yes",H158&lt;$Z$51),AND(G158="Yes",H158&gt;$Z$51),AND(G158="No",H158&lt;$Z$51)),"Valid","Invalid"),""))</f>
        <v>Valid</v>
      </c>
      <c r="P158" s="342">
        <v>3</v>
      </c>
      <c r="Q158" s="250" t="s">
        <v>107</v>
      </c>
      <c r="R158" s="243">
        <f>IF(Z162="Y",I162,MAX(H165,H164,I162))</f>
        <v>6.25</v>
      </c>
      <c r="S158" s="375"/>
      <c r="T158" s="376"/>
      <c r="U158" s="377"/>
      <c r="W158" s="3"/>
      <c r="Y158" s="2"/>
      <c r="Z158" s="95" t="s">
        <v>43</v>
      </c>
      <c r="AB158" s="95" t="s">
        <v>44</v>
      </c>
    </row>
    <row r="159" spans="1:30" ht="15.75" customHeight="1" thickBot="1" x14ac:dyDescent="0.3">
      <c r="A159" s="125" t="s">
        <v>13</v>
      </c>
      <c r="B159" s="324" t="s">
        <v>8</v>
      </c>
      <c r="C159" s="251">
        <f>IF(C147=0,"No Data",K147/(J138/100))</f>
        <v>16.95657529766082</v>
      </c>
      <c r="D159" s="252">
        <f>IF(D147=0,"No Data",L147/(J139/100))</f>
        <v>39.90864885134846</v>
      </c>
      <c r="E159" s="253" t="str">
        <f>IF(E147=0,"No Data",M147/(J140/100))</f>
        <v>No Data</v>
      </c>
      <c r="F159" s="252" t="str">
        <f>IF(F147=0,"No Data",N147/(J141/100))</f>
        <v>No Data</v>
      </c>
      <c r="G159" s="247" t="str">
        <f>IF(COUNT(O147:R147)=1,"1Fib",IF(COUNT(O147:R147)&lt;2,"No Data",IF(AND(S147&gt;K135,K135&gt;T147),"Yes","No")))</f>
        <v>No</v>
      </c>
      <c r="H159" s="270">
        <f>IF(COUNTBLANK(C147:F147)=4,"No Data",MIN(C159:F159))</f>
        <v>16.95657529766082</v>
      </c>
      <c r="I159" s="254">
        <f>MIN(C159:F161)</f>
        <v>5.6756756756756488</v>
      </c>
      <c r="J159" s="2" t="s">
        <v>32</v>
      </c>
      <c r="K159" s="249" t="str">
        <f t="shared" ref="K159:K161" si="59">CONCATENATE(IF(L159=1,IF(OR(AND(G159="1Fib",H159&lt;$Z$51),AND(G159="Yes",H159&lt;$Z$51),AND(G159="No",H159&lt;$Z$51)),"Valid","Invalid"),""),IF(L159=2,IF(OR(AND(G159="1Fib",H159&lt;$Z$51),AND(G159="Yes",H159&lt;$Z$51),AND(G159="Yes",H159&gt;$Z$51)),"Valid","Invalid"),""),IF(L159=3,IF(OR(AND(G159="1Fib",H159&lt;$Z$51),AND(G159="Yes",H159&lt;$Z$51),AND(G159="Yes",H159&gt;$Z$51),AND(G159="No",H159&lt;$Z$51)),"Valid","Invalid"),""))</f>
        <v>Invalid</v>
      </c>
      <c r="L159" s="342">
        <v>2</v>
      </c>
      <c r="M159" s="249" t="str">
        <f t="shared" ref="M159:M161" si="60">CONCATENATE(IF(N159=1,IF(OR(AND(G159="1Fib",H159&lt;$Z$51),AND(G159="Yes",H159&lt;$Z$51),AND(G159="No",H159&lt;$Z$51)),"Valid","Invalid"),""),IF(N159=2,IF(OR(AND(G159="1Fib",H159&lt;$Z$51),AND(G159="Yes",H159&lt;$Z$51),AND(G159="Yes",H159&gt;$Z$51)),"Valid","Invalid"),""),IF(N159=3,IF(OR(AND(G159="1Fib",H159&lt;$Z$51),AND(G159="Yes",H159&lt;$Z$51),AND(G159="Yes",H159&gt;$Z$51),AND(G159="No",H159&lt;$Z$51)),"Valid","Invalid"),""))</f>
        <v>Invalid</v>
      </c>
      <c r="N159" s="342">
        <v>1</v>
      </c>
      <c r="O159" s="249" t="str">
        <f t="shared" ref="O159:O161" si="61">CONCATENATE(IF(P159=1,IF(OR(AND(G159="1Fib",H159&lt;$Z$51),AND(G159="Yes",H159&lt;$Z$51),AND(G159="No",H159&lt;$Z$51)),"Valid","Invalid"),""),IF(P159=2,IF(OR(AND(G159="1Fib",H159&lt;$Z$51),AND(G159="Yes",H159&lt;$Z$51),AND(G159="Yes",H159&gt;$Z$51)),"Valid","Invalid"),""),IF(P159=3,IF(OR(AND(G159="1Fib",H159&lt;$Z$51),AND(G159="Yes",H159&lt;$Z$51),AND(G159="Yes",H159&gt;$Z$51),AND(G159="No",H159&lt;$Z$51)),"Valid","Invalid"),""))</f>
        <v>Invalid</v>
      </c>
      <c r="P159" s="342">
        <v>3</v>
      </c>
      <c r="Q159" s="242" t="s">
        <v>108</v>
      </c>
      <c r="R159" s="243">
        <f>IF(Z162="Y",MAX(H159:H161),MAX(H157,H158,I159,I162,H164,H165))</f>
        <v>21.543681085665796</v>
      </c>
      <c r="S159" s="375"/>
      <c r="T159" s="376"/>
      <c r="U159" s="377"/>
      <c r="W159" s="3"/>
      <c r="Y159" s="255" t="s">
        <v>28</v>
      </c>
      <c r="Z159" s="256">
        <f>Z123</f>
        <v>8</v>
      </c>
      <c r="AA159" s="2" t="s">
        <v>15</v>
      </c>
      <c r="AB159" s="256">
        <f>AB123</f>
        <v>10</v>
      </c>
      <c r="AC159" s="2" t="s">
        <v>15</v>
      </c>
    </row>
    <row r="160" spans="1:30" ht="15.75" customHeight="1" thickBot="1" x14ac:dyDescent="0.3">
      <c r="A160" s="125" t="s">
        <v>14</v>
      </c>
      <c r="B160" s="324" t="s">
        <v>6</v>
      </c>
      <c r="C160" s="251">
        <f>IF(C148=0,"No Data",K148/(L138/100))</f>
        <v>38.417190775681355</v>
      </c>
      <c r="D160" s="252" t="str">
        <f>IF(D148=0,"No Data",L148/(L139/100))</f>
        <v>No Data</v>
      </c>
      <c r="E160" s="253" t="str">
        <f>IF(E148=0,"No Data",M148/(L140/100))</f>
        <v>No Data</v>
      </c>
      <c r="F160" s="252" t="str">
        <f>IF(F148=0,"No Data",N148/(L141/100))</f>
        <v>No Data</v>
      </c>
      <c r="G160" s="247" t="str">
        <f>IF(COUNT(O148:R148)=1,"1Fib",IF(COUNT(O148:R148)&lt;2,"No Data",IF(AND(S148&gt;K135,K135&gt;T148),"Yes","No")))</f>
        <v>1Fib</v>
      </c>
      <c r="H160" s="270">
        <f>IF(COUNTBLANK(C148:F148)=4,"No Data",MIN(C160:F160))</f>
        <v>38.417190775681355</v>
      </c>
      <c r="I160" s="257">
        <f>MAX(O147:R149)-MIN(O147:R149)</f>
        <v>0.31420000000000003</v>
      </c>
      <c r="J160" s="2" t="s">
        <v>40</v>
      </c>
      <c r="K160" s="249" t="str">
        <f t="shared" si="59"/>
        <v>Invalid</v>
      </c>
      <c r="L160" s="342">
        <v>1</v>
      </c>
      <c r="M160" s="249" t="str">
        <f t="shared" si="60"/>
        <v>Invalid</v>
      </c>
      <c r="N160" s="342">
        <v>1</v>
      </c>
      <c r="O160" s="249" t="str">
        <f t="shared" si="61"/>
        <v>Invalid</v>
      </c>
      <c r="P160" s="342">
        <v>3</v>
      </c>
      <c r="Q160" s="242" t="s">
        <v>54</v>
      </c>
      <c r="R160" s="258">
        <f>SUM(H157,H158,I159)/COUNT(H157,H158,I159)</f>
        <v>12.817043431866024</v>
      </c>
      <c r="S160" s="375"/>
      <c r="T160" s="376"/>
      <c r="U160" s="377"/>
      <c r="W160" s="3"/>
      <c r="Y160" s="95"/>
      <c r="Z160" s="2"/>
      <c r="AA160" s="95"/>
      <c r="AB160" s="95"/>
      <c r="AC160" s="259"/>
    </row>
    <row r="161" spans="1:30" ht="15.75" customHeight="1" thickBot="1" x14ac:dyDescent="0.3">
      <c r="A161" s="125" t="s">
        <v>29</v>
      </c>
      <c r="B161" s="331" t="s">
        <v>7</v>
      </c>
      <c r="C161" s="260">
        <f>IF(C149=0,"No Data",K149/(N138/100))</f>
        <v>5.6756756756756488</v>
      </c>
      <c r="D161" s="261">
        <f>IF(D149=0,"No Data",L149/(N139/100))</f>
        <v>16.921638619751853</v>
      </c>
      <c r="E161" s="262" t="str">
        <f>IF(E149=0,"No Data",M149/(N140/100))</f>
        <v>No Data</v>
      </c>
      <c r="F161" s="261" t="str">
        <f>IF(F149=0,"No Data",N149/(N141/100))</f>
        <v>No Data</v>
      </c>
      <c r="G161" s="263" t="str">
        <f>IF(COUNT(O149:R149)=1,"1Fib",IF(COUNT(O149:R149)&lt;2,"No Data",IF(AND(S149&gt;K135,K135&gt;T149),"Yes","No")))</f>
        <v>Yes</v>
      </c>
      <c r="H161" s="264">
        <f>IF(COUNTBLANK(C149:F149)=4,"No Data",MIN(C161:F161))</f>
        <v>5.6756756756756488</v>
      </c>
      <c r="I161" s="265">
        <f>COUNT(C159:F161)</f>
        <v>5</v>
      </c>
      <c r="J161" s="2" t="s">
        <v>41</v>
      </c>
      <c r="K161" s="249" t="str">
        <f t="shared" si="59"/>
        <v>Valid</v>
      </c>
      <c r="L161" s="342">
        <v>2</v>
      </c>
      <c r="M161" s="249" t="str">
        <f t="shared" si="60"/>
        <v>Valid</v>
      </c>
      <c r="N161" s="342">
        <v>1</v>
      </c>
      <c r="O161" s="249" t="str">
        <f t="shared" si="61"/>
        <v>Valid</v>
      </c>
      <c r="P161" s="342">
        <v>3</v>
      </c>
      <c r="Q161" s="250" t="s">
        <v>48</v>
      </c>
      <c r="R161" s="243">
        <f>SUM(I162,H164,H165)/COUNT(I162,H164,H165)</f>
        <v>2.2367902617062785</v>
      </c>
      <c r="S161" s="375"/>
      <c r="T161" s="376"/>
      <c r="U161" s="377"/>
      <c r="W161" s="3"/>
      <c r="Y161" s="2"/>
      <c r="Z161" s="95" t="s">
        <v>38</v>
      </c>
      <c r="AB161" s="95"/>
      <c r="AC161" s="310"/>
    </row>
    <row r="162" spans="1:30" ht="16.5" customHeight="1" thickTop="1" thickBot="1" x14ac:dyDescent="0.3">
      <c r="A162" s="12" t="s">
        <v>47</v>
      </c>
      <c r="B162" s="335" t="s">
        <v>6</v>
      </c>
      <c r="C162" s="268">
        <f>IF(C150=0,"No Data",K150/(G150/100))</f>
        <v>66.666666666666671</v>
      </c>
      <c r="D162" s="268">
        <f t="shared" ref="D162:D165" si="62">IF(D150=0,"No Data",L150/(H150/100))</f>
        <v>27.323656735421455</v>
      </c>
      <c r="E162" s="268">
        <f t="shared" ref="E162:E165" si="63">IF(E150=0,"No Data",M150/(I150/100))</f>
        <v>19.645848289064361</v>
      </c>
      <c r="F162" s="268" t="str">
        <f t="shared" ref="F162:F165" si="64">IF(F150=0,"No Data",N150/(J150/100))</f>
        <v>No Data</v>
      </c>
      <c r="G162" s="269"/>
      <c r="H162" s="270">
        <f>IF(COUNTIF(C150:F150,0)=4,"No Data",MIN(C162:F162))</f>
        <v>19.645848289064361</v>
      </c>
      <c r="I162" s="254">
        <f>MIN(C162:F163)</f>
        <v>6.25</v>
      </c>
      <c r="K162" s="363">
        <f>COUNTIFS(G157:K161,"Valid")</f>
        <v>2</v>
      </c>
      <c r="M162" s="363">
        <f>COUNTIFS(M157:M161,"Valid")</f>
        <v>1</v>
      </c>
      <c r="O162" s="363">
        <f>COUNTIFS(O157:O161,"Valid")</f>
        <v>2</v>
      </c>
      <c r="Q162" s="250" t="s">
        <v>56</v>
      </c>
      <c r="R162" s="243">
        <f>SUM(H157,H158,I159,I162,H164,H165)/COUNT(H157,H158,I159,I162,H164,H165)</f>
        <v>7.5269168467861505</v>
      </c>
      <c r="S162" s="378"/>
      <c r="T162" s="379"/>
      <c r="U162" s="380"/>
      <c r="W162" s="3"/>
      <c r="Y162" s="255" t="s">
        <v>36</v>
      </c>
      <c r="Z162" s="256" t="s">
        <v>57</v>
      </c>
      <c r="AA162" s="255"/>
      <c r="AB162" s="256"/>
      <c r="AC162" s="272"/>
    </row>
    <row r="163" spans="1:30" ht="15.75" customHeight="1" thickBot="1" x14ac:dyDescent="0.3">
      <c r="A163" s="12" t="s">
        <v>47</v>
      </c>
      <c r="B163" s="340" t="s">
        <v>74</v>
      </c>
      <c r="C163" s="273">
        <f t="shared" ref="C163:C165" si="65">IF(C151=0,"No Data",K151/(G151/100))</f>
        <v>6.25</v>
      </c>
      <c r="D163" s="273" t="str">
        <f t="shared" si="62"/>
        <v>No Data</v>
      </c>
      <c r="E163" s="273" t="str">
        <f t="shared" si="63"/>
        <v>No Data</v>
      </c>
      <c r="F163" s="273" t="str">
        <f t="shared" si="64"/>
        <v>No Data</v>
      </c>
      <c r="G163" s="269"/>
      <c r="H163" s="235">
        <f>IF(COUNTIF(C151:F151,0)=4,"No Data",MIN(C163:F163))</f>
        <v>6.25</v>
      </c>
      <c r="I163" s="235"/>
      <c r="K163" s="439" t="s">
        <v>116</v>
      </c>
      <c r="L163" s="439"/>
      <c r="M163" s="439"/>
      <c r="N163" s="439"/>
      <c r="O163" s="439"/>
      <c r="P163" s="439"/>
      <c r="Q163" s="274"/>
      <c r="R163" s="397" t="str">
        <f>CONCATENATE(IF(Y137="Y",Z137,""),IF(Y138="Y",Z138,""),IF(Y139="Y",Z139,""),IF(Y140="Y",Z140,""),IF(Y141="Y",Z141,""),IF(Y142="Y",Z142,""),IF(Y143="Y",Z143,""),IF(Y144="Y",Z144,""),IF(Y145="Y",Z145,""),IF(Y146="Y",Z146,""),IF(Y147="Y",Z147,""),IF(Y148="Y",Z148,""),IF(Y149="Y",Z149,""),IF(Y150="Y",Z150,""),IF(Y151="Y",Z151,""))</f>
        <v xml:space="preserve">[Weak Structure: More than 8 % Price deviation][Structure Violation: D below X] </v>
      </c>
      <c r="S163" s="398"/>
      <c r="T163" s="398"/>
      <c r="U163" s="399"/>
      <c r="W163" s="3"/>
      <c r="Y163" s="2"/>
      <c r="Z163" s="2"/>
      <c r="AC163" s="259"/>
    </row>
    <row r="164" spans="1:30" ht="15.75" thickBot="1" x14ac:dyDescent="0.3">
      <c r="A164" s="12" t="s">
        <v>46</v>
      </c>
      <c r="B164" s="139" t="s">
        <v>6</v>
      </c>
      <c r="C164" s="273">
        <f t="shared" si="65"/>
        <v>77.777777777777786</v>
      </c>
      <c r="D164" s="273">
        <f t="shared" si="62"/>
        <v>9.8750171679714249</v>
      </c>
      <c r="E164" s="273">
        <f t="shared" si="63"/>
        <v>0.46037078511883545</v>
      </c>
      <c r="F164" s="273" t="str">
        <f t="shared" si="64"/>
        <v>No Data</v>
      </c>
      <c r="G164" s="275"/>
      <c r="H164" s="235">
        <f>IF(COUNTIF(C152:F152,0)=4,"No Data",MIN(C164:F164))</f>
        <v>0.46037078511883545</v>
      </c>
      <c r="I164" s="235"/>
      <c r="K164" s="440" t="s">
        <v>126</v>
      </c>
      <c r="L164" s="440"/>
      <c r="M164" s="440"/>
      <c r="N164" s="440"/>
      <c r="O164" s="440"/>
      <c r="P164" s="440"/>
      <c r="Q164" s="276" t="s">
        <v>34</v>
      </c>
      <c r="R164" s="400"/>
      <c r="S164" s="401"/>
      <c r="T164" s="401"/>
      <c r="U164" s="402"/>
      <c r="W164" s="3"/>
      <c r="Y164" s="2"/>
      <c r="Z164" s="2"/>
      <c r="AC164" s="259"/>
    </row>
    <row r="165" spans="1:30" ht="15.75" thickBot="1" x14ac:dyDescent="0.3">
      <c r="A165" s="12" t="s">
        <v>66</v>
      </c>
      <c r="B165" s="354" t="s">
        <v>6</v>
      </c>
      <c r="C165" s="277" t="str">
        <f t="shared" si="65"/>
        <v>No Data</v>
      </c>
      <c r="D165" s="277" t="str">
        <f t="shared" si="62"/>
        <v>No Data</v>
      </c>
      <c r="E165" s="277" t="str">
        <f t="shared" si="63"/>
        <v>No Data</v>
      </c>
      <c r="F165" s="277" t="str">
        <f t="shared" si="64"/>
        <v>No Data</v>
      </c>
      <c r="G165" s="278"/>
      <c r="H165" s="235">
        <f>IF(COUNTIF(C153:F153,0)=4,"No Data",MIN(C165:F165))</f>
        <v>0</v>
      </c>
      <c r="I165" s="235"/>
      <c r="K165" s="440" t="s">
        <v>127</v>
      </c>
      <c r="L165" s="440"/>
      <c r="M165" s="440"/>
      <c r="N165" s="440"/>
      <c r="O165" s="440"/>
      <c r="P165" s="440"/>
      <c r="Q165" s="250"/>
      <c r="R165" s="403"/>
      <c r="S165" s="404"/>
      <c r="T165" s="404"/>
      <c r="U165" s="405"/>
      <c r="W165" s="3"/>
      <c r="Y165" s="2"/>
      <c r="Z165" s="256"/>
      <c r="AA165" s="255"/>
      <c r="AB165" s="256"/>
      <c r="AC165" s="259"/>
    </row>
    <row r="166" spans="1:30" x14ac:dyDescent="0.25">
      <c r="I166" s="279"/>
      <c r="J166" s="281"/>
      <c r="K166" s="283"/>
      <c r="L166" s="283"/>
      <c r="M166" s="284"/>
      <c r="N166" s="285"/>
      <c r="O166" s="283"/>
      <c r="P166" s="283"/>
      <c r="W166" s="3"/>
    </row>
    <row r="167" spans="1:30" s="292" customFormat="1" ht="27.75" customHeight="1" x14ac:dyDescent="0.25">
      <c r="A167" s="3"/>
      <c r="B167" s="3"/>
      <c r="C167" s="3"/>
      <c r="D167" s="289"/>
      <c r="E167" s="290"/>
      <c r="F167" s="290"/>
      <c r="G167" s="290"/>
      <c r="M167" s="290"/>
      <c r="N167" s="290"/>
      <c r="O167" s="3"/>
      <c r="P167" s="293"/>
      <c r="Q167" s="294"/>
      <c r="R167" s="295"/>
      <c r="S167" s="295"/>
      <c r="T167" s="3"/>
      <c r="W167" s="3"/>
      <c r="Y167" s="296"/>
      <c r="Z167" s="297"/>
    </row>
    <row r="168" spans="1:30" ht="15.75" thickBot="1" x14ac:dyDescent="0.3">
      <c r="A168" s="78"/>
      <c r="B168" s="78"/>
      <c r="C168" s="78"/>
      <c r="D168" s="298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78"/>
      <c r="P168" s="78"/>
      <c r="Q168" s="78"/>
      <c r="R168" s="78"/>
      <c r="S168" s="78"/>
      <c r="W168" s="3"/>
    </row>
    <row r="169" spans="1:30" s="89" customFormat="1" ht="15.75" customHeight="1" thickBot="1" x14ac:dyDescent="0.3">
      <c r="A169" s="82"/>
      <c r="B169" s="299" t="s">
        <v>95</v>
      </c>
      <c r="C169" s="425">
        <f>C133</f>
        <v>0</v>
      </c>
      <c r="D169" s="426"/>
      <c r="E169" s="425">
        <f>E133</f>
        <v>9</v>
      </c>
      <c r="F169" s="426"/>
      <c r="G169" s="425">
        <f>G133</f>
        <v>16</v>
      </c>
      <c r="H169" s="426"/>
      <c r="I169" s="425">
        <f>I133</f>
        <v>23</v>
      </c>
      <c r="J169" s="426"/>
      <c r="K169" s="425">
        <f>K133</f>
        <v>30</v>
      </c>
      <c r="L169" s="426"/>
      <c r="M169" s="425">
        <f>M133</f>
        <v>33</v>
      </c>
      <c r="N169" s="426"/>
      <c r="O169" s="395"/>
      <c r="P169" s="395"/>
      <c r="Q169" s="395"/>
      <c r="R169" s="395"/>
      <c r="S169" s="395"/>
      <c r="T169" s="395"/>
      <c r="U169" s="395"/>
      <c r="V169" s="395"/>
      <c r="W169" s="3"/>
      <c r="Y169" s="4"/>
      <c r="Z169" s="5"/>
    </row>
    <row r="170" spans="1:30" ht="34.5" thickBot="1" x14ac:dyDescent="0.3">
      <c r="A170" s="300" t="s">
        <v>24</v>
      </c>
      <c r="B170" s="360">
        <v>4</v>
      </c>
      <c r="C170" s="421" t="s">
        <v>5</v>
      </c>
      <c r="D170" s="422"/>
      <c r="E170" s="421" t="s">
        <v>1</v>
      </c>
      <c r="F170" s="422"/>
      <c r="G170" s="421" t="s">
        <v>2</v>
      </c>
      <c r="H170" s="422"/>
      <c r="I170" s="421" t="s">
        <v>3</v>
      </c>
      <c r="J170" s="422"/>
      <c r="K170" s="421" t="s">
        <v>4</v>
      </c>
      <c r="L170" s="422"/>
      <c r="M170" s="421" t="s">
        <v>93</v>
      </c>
      <c r="N170" s="422"/>
      <c r="O170" s="396"/>
      <c r="P170" s="396"/>
      <c r="Q170" s="396"/>
      <c r="R170" s="396"/>
      <c r="S170" s="396"/>
      <c r="T170" s="396"/>
      <c r="U170" s="396"/>
      <c r="V170" s="396"/>
      <c r="W170" s="3"/>
      <c r="X170" s="302" t="str">
        <f>A170</f>
        <v>Crab</v>
      </c>
      <c r="Y170" s="361"/>
      <c r="Z170" s="362"/>
    </row>
    <row r="171" spans="1:30" ht="16.5" customHeight="1" thickBot="1" x14ac:dyDescent="0.3">
      <c r="A171" s="90"/>
      <c r="B171" s="91" t="s">
        <v>96</v>
      </c>
      <c r="C171" s="447">
        <f>C135</f>
        <v>1.8</v>
      </c>
      <c r="D171" s="448"/>
      <c r="E171" s="447">
        <f>E135</f>
        <v>1.2</v>
      </c>
      <c r="F171" s="448"/>
      <c r="G171" s="447">
        <f>G135</f>
        <v>1.57</v>
      </c>
      <c r="H171" s="448"/>
      <c r="I171" s="447">
        <f>I135</f>
        <v>1.2789999999999999</v>
      </c>
      <c r="J171" s="448"/>
      <c r="K171" s="447">
        <f>K135</f>
        <v>1.67</v>
      </c>
      <c r="L171" s="448"/>
      <c r="M171" s="447">
        <f>M135</f>
        <v>0</v>
      </c>
      <c r="N171" s="448"/>
      <c r="O171" s="394"/>
      <c r="P171" s="394"/>
      <c r="Q171" s="394"/>
      <c r="R171" s="394"/>
      <c r="S171" s="394"/>
      <c r="T171" s="394"/>
      <c r="U171" s="394"/>
      <c r="V171" s="394"/>
      <c r="W171" s="3"/>
    </row>
    <row r="172" spans="1:30" ht="34.5" thickBot="1" x14ac:dyDescent="0.3">
      <c r="A172" s="92"/>
      <c r="B172" s="92"/>
      <c r="C172" s="93" t="s">
        <v>16</v>
      </c>
      <c r="D172" s="430" t="s">
        <v>6</v>
      </c>
      <c r="E172" s="431"/>
      <c r="F172" s="430" t="s">
        <v>7</v>
      </c>
      <c r="G172" s="431"/>
      <c r="H172" s="430" t="s">
        <v>8</v>
      </c>
      <c r="I172" s="431"/>
      <c r="J172" s="430" t="s">
        <v>9</v>
      </c>
      <c r="K172" s="431"/>
      <c r="L172" s="449" t="s">
        <v>30</v>
      </c>
      <c r="M172" s="393"/>
      <c r="N172" s="449" t="s">
        <v>31</v>
      </c>
      <c r="O172" s="393"/>
      <c r="P172" s="304"/>
      <c r="Q172" s="78"/>
      <c r="R172" s="78"/>
      <c r="W172" s="3"/>
      <c r="Y172" s="305" t="s">
        <v>36</v>
      </c>
      <c r="Z172" s="230" t="s">
        <v>71</v>
      </c>
      <c r="AA172" s="306" t="s">
        <v>80</v>
      </c>
      <c r="AB172" s="307"/>
      <c r="AC172" s="307"/>
      <c r="AD172" s="308"/>
    </row>
    <row r="173" spans="1:30" ht="15.75" thickBot="1" x14ac:dyDescent="0.3">
      <c r="A173" s="441"/>
      <c r="B173" s="442"/>
      <c r="C173" s="93" t="s">
        <v>33</v>
      </c>
      <c r="D173" s="423">
        <f>IF(C171&lt;E171,E171-C171,C171-E171)</f>
        <v>0.60000000000000009</v>
      </c>
      <c r="E173" s="424"/>
      <c r="F173" s="423">
        <f>IF(G171&lt;E171,E171-G171,G171-E171)</f>
        <v>0.37000000000000011</v>
      </c>
      <c r="G173" s="424"/>
      <c r="H173" s="423">
        <f>IF(I171&lt;G171,G171-I171,I171-G171)</f>
        <v>0.29100000000000015</v>
      </c>
      <c r="I173" s="424"/>
      <c r="J173" s="423">
        <f>IF(K171&lt;I171,I171-K171,K171-I171)</f>
        <v>0.39100000000000001</v>
      </c>
      <c r="K173" s="424"/>
      <c r="L173" s="423">
        <f>IF(C171&lt;E171,E171-C171,C171-E171)</f>
        <v>0.60000000000000009</v>
      </c>
      <c r="M173" s="424"/>
      <c r="N173" s="423">
        <f>IF(E171&lt;G171,G171-E171,E171-G171)</f>
        <v>0.37000000000000011</v>
      </c>
      <c r="O173" s="424"/>
      <c r="P173" s="78"/>
      <c r="Q173" s="76"/>
      <c r="R173" s="76"/>
      <c r="W173" s="3"/>
      <c r="X173" s="2">
        <v>1</v>
      </c>
      <c r="Y173" s="311" t="s">
        <v>70</v>
      </c>
      <c r="Z173" s="312" t="str">
        <f>IF(R193&gt;Z195,CONCATENATE("[Weak Structure: More than ",Z195," % Price deviation]"),"")</f>
        <v>[Weak Structure: More than 8 % Price deviation]</v>
      </c>
      <c r="AA173" s="381" t="s">
        <v>72</v>
      </c>
      <c r="AB173" s="382"/>
      <c r="AC173" s="382"/>
      <c r="AD173" s="383"/>
    </row>
    <row r="174" spans="1:30" ht="15.75" thickBot="1" x14ac:dyDescent="0.3">
      <c r="A174" s="443"/>
      <c r="B174" s="444"/>
      <c r="C174" s="93" t="s">
        <v>18</v>
      </c>
      <c r="D174" s="437" t="s">
        <v>17</v>
      </c>
      <c r="E174" s="438"/>
      <c r="F174" s="437">
        <f>IF(C181&gt;0,(D173*C181),"No Data")</f>
        <v>0.22920000000000004</v>
      </c>
      <c r="G174" s="438"/>
      <c r="H174" s="437">
        <f>IF(C182&gt;0,(F173*C182),"No Data")</f>
        <v>0.14134000000000005</v>
      </c>
      <c r="I174" s="438"/>
      <c r="J174" s="437">
        <f>IF(C183&gt;0,(H173*C183),"No Data")</f>
        <v>0.76183800000000035</v>
      </c>
      <c r="K174" s="438"/>
      <c r="L174" s="437">
        <f>IF(C184&gt;0,(L173*C184),"No Data")</f>
        <v>0.97080000000000022</v>
      </c>
      <c r="M174" s="438"/>
      <c r="N174" s="437">
        <f>IF(C185&gt;0,(N173*C185),"No Data")</f>
        <v>0.47064000000000017</v>
      </c>
      <c r="O174" s="438"/>
      <c r="P174" s="314"/>
      <c r="Q174" s="76"/>
      <c r="R174" s="76"/>
      <c r="W174" s="3"/>
      <c r="X174" s="2">
        <v>2</v>
      </c>
      <c r="Y174" s="311" t="s">
        <v>70</v>
      </c>
      <c r="Z174" s="312" t="str">
        <f>IF(R194&gt;AB195,CONCATENATE("[Weak Structure: More than ",AB195," % Time deviation]"),"")</f>
        <v/>
      </c>
      <c r="AA174" s="381" t="s">
        <v>73</v>
      </c>
      <c r="AB174" s="382"/>
      <c r="AC174" s="382"/>
      <c r="AD174" s="383"/>
    </row>
    <row r="175" spans="1:30" ht="15.75" thickBot="1" x14ac:dyDescent="0.3">
      <c r="A175" s="443"/>
      <c r="B175" s="444"/>
      <c r="C175" s="93" t="s">
        <v>19</v>
      </c>
      <c r="D175" s="437" t="s">
        <v>17</v>
      </c>
      <c r="E175" s="438"/>
      <c r="F175" s="437">
        <f>IF(D181&gt;0,(D173*D181),"No Data")</f>
        <v>0.37080000000000007</v>
      </c>
      <c r="G175" s="438"/>
      <c r="H175" s="437">
        <f>IF(D182&gt;0,(F173*D182),"No Data")</f>
        <v>0.32782000000000011</v>
      </c>
      <c r="I175" s="438"/>
      <c r="J175" s="437">
        <f>IF(D183&gt;0,(H173*D183),"No Data")</f>
        <v>0.91374000000000055</v>
      </c>
      <c r="K175" s="438"/>
      <c r="L175" s="437" t="str">
        <f>IF(D184&gt;0,(L173*D184),"No Data")</f>
        <v>No Data</v>
      </c>
      <c r="M175" s="438"/>
      <c r="N175" s="437">
        <f>IF(D185&gt;0,(N173*D185),"No Data")</f>
        <v>0.59866000000000019</v>
      </c>
      <c r="O175" s="438"/>
      <c r="P175" s="314"/>
      <c r="Q175" s="76"/>
      <c r="R175" s="76"/>
      <c r="W175" s="3"/>
      <c r="X175" s="2">
        <v>3</v>
      </c>
      <c r="Y175" s="311"/>
      <c r="Z175" s="315"/>
      <c r="AA175" s="381"/>
      <c r="AB175" s="382"/>
      <c r="AC175" s="382"/>
      <c r="AD175" s="383"/>
    </row>
    <row r="176" spans="1:30" ht="15.75" thickBot="1" x14ac:dyDescent="0.3">
      <c r="A176" s="443"/>
      <c r="B176" s="444"/>
      <c r="C176" s="93" t="s">
        <v>20</v>
      </c>
      <c r="D176" s="437" t="s">
        <v>17</v>
      </c>
      <c r="E176" s="438"/>
      <c r="F176" s="437" t="str">
        <f>IF(E181&gt;0,(D173*E181),"No Data")</f>
        <v>No Data</v>
      </c>
      <c r="G176" s="438"/>
      <c r="H176" s="437" t="str">
        <f>IF(E182&gt;0,(F173*E182),"No Data")</f>
        <v>No Data</v>
      </c>
      <c r="I176" s="438"/>
      <c r="J176" s="437">
        <f>IF(E183&gt;0,(H173*E183),"No Data")</f>
        <v>1.0528380000000006</v>
      </c>
      <c r="K176" s="438"/>
      <c r="L176" s="437" t="str">
        <f>IF(E184&gt;0,(L173*E184),"No Data")</f>
        <v>No Data</v>
      </c>
      <c r="M176" s="438"/>
      <c r="N176" s="437" t="str">
        <f>IF(E185&gt;0,(N173*E185),"No Data")</f>
        <v>No Data</v>
      </c>
      <c r="O176" s="438"/>
      <c r="P176" s="314"/>
      <c r="Q176" s="76"/>
      <c r="R176" s="76"/>
      <c r="W176" s="3"/>
      <c r="X176" s="2">
        <v>4</v>
      </c>
      <c r="Y176" s="311"/>
      <c r="Z176" s="317"/>
      <c r="AA176" s="381"/>
      <c r="AB176" s="382"/>
      <c r="AC176" s="382"/>
      <c r="AD176" s="383"/>
    </row>
    <row r="177" spans="1:30" ht="15.75" thickBot="1" x14ac:dyDescent="0.3">
      <c r="A177" s="445"/>
      <c r="B177" s="446"/>
      <c r="C177" s="93" t="s">
        <v>21</v>
      </c>
      <c r="D177" s="437" t="s">
        <v>17</v>
      </c>
      <c r="E177" s="438"/>
      <c r="F177" s="437" t="str">
        <f>IF(F181&gt;0,(D173*F181),"No Data")</f>
        <v>No Data</v>
      </c>
      <c r="G177" s="438"/>
      <c r="H177" s="437" t="str">
        <f>IF(F182&gt;0,(F173*F182),"No Data")</f>
        <v>No Data</v>
      </c>
      <c r="I177" s="438"/>
      <c r="J177" s="437" t="str">
        <f>IF(F183&gt;0,(H173*F183),"No Data")</f>
        <v>No Data</v>
      </c>
      <c r="K177" s="438"/>
      <c r="L177" s="437" t="str">
        <f>IF(F184&gt;0,(L173*F184),"No Data")</f>
        <v>No Data</v>
      </c>
      <c r="M177" s="438"/>
      <c r="N177" s="437" t="str">
        <f>IF(F185&gt;0,(N173*F185),"No Data")</f>
        <v>No Data</v>
      </c>
      <c r="O177" s="438"/>
      <c r="P177" s="314"/>
      <c r="Q177" s="76"/>
      <c r="R177" s="76"/>
      <c r="W177" s="3"/>
      <c r="X177" s="2">
        <v>5</v>
      </c>
      <c r="Y177" s="311" t="s">
        <v>70</v>
      </c>
      <c r="Z177" s="312" t="str">
        <f>IF(C171&gt;E171,IF(AND(C171&gt;E171,E171&lt;G171,G171&gt;I171,I171&lt;K171),"","[No Structure found] "),IF(AND(C171&lt;E171,E171&gt;G171,G171&lt;I171,I171&gt;K171),"","[No Structure found] "))</f>
        <v/>
      </c>
      <c r="AA177" s="381" t="s">
        <v>81</v>
      </c>
      <c r="AB177" s="382"/>
      <c r="AC177" s="382"/>
      <c r="AD177" s="383"/>
    </row>
    <row r="178" spans="1:30" ht="19.5" thickBot="1" x14ac:dyDescent="0.3">
      <c r="A178" s="432" t="str">
        <f>CONCATENATE(IF(C171&gt;E171,"Bearish",""),(IF(C171&lt;E171,"Bullish","")))</f>
        <v>Bearish</v>
      </c>
      <c r="B178" s="433"/>
      <c r="N178" s="114"/>
      <c r="W178" s="3"/>
      <c r="X178" s="2">
        <v>6</v>
      </c>
      <c r="Y178" s="311" t="s">
        <v>57</v>
      </c>
      <c r="Z178" s="312" t="str">
        <f>CONCATENATE(IF(AND(C171&gt;E171,K171&gt;C171),"[Structure Violation: D passed X] ",""),IF(AND(C171&lt;E171,K171&lt;C171),"[Structure Violation: D passed X] ",""))</f>
        <v/>
      </c>
      <c r="AA178" s="381" t="s">
        <v>83</v>
      </c>
      <c r="AB178" s="382"/>
      <c r="AC178" s="382"/>
      <c r="AD178" s="383"/>
    </row>
    <row r="179" spans="1:30" ht="15.75" thickBot="1" x14ac:dyDescent="0.3">
      <c r="C179" s="418" t="s">
        <v>50</v>
      </c>
      <c r="D179" s="419"/>
      <c r="E179" s="419"/>
      <c r="F179" s="420"/>
      <c r="G179" s="427" t="s">
        <v>49</v>
      </c>
      <c r="H179" s="428"/>
      <c r="I179" s="428"/>
      <c r="J179" s="429"/>
      <c r="K179" s="427" t="s">
        <v>52</v>
      </c>
      <c r="L179" s="428"/>
      <c r="M179" s="428"/>
      <c r="N179" s="428"/>
      <c r="O179" s="427" t="s">
        <v>67</v>
      </c>
      <c r="P179" s="428"/>
      <c r="Q179" s="428"/>
      <c r="R179" s="429"/>
      <c r="S179" s="384" t="s">
        <v>65</v>
      </c>
      <c r="T179" s="385"/>
      <c r="W179" s="3"/>
      <c r="X179" s="2">
        <v>7</v>
      </c>
      <c r="Y179" s="311" t="s">
        <v>70</v>
      </c>
      <c r="Z179" s="318" t="str">
        <f>CONCATENATE(IF(AND(C171&gt;E171,I171&lt;E171),"[Structure Violation: C passed A] ",""),IF(AND(C171&lt;E171,I171&gt;E171),"[Structure Violation: C passed A] ",""))</f>
        <v/>
      </c>
      <c r="AA179" s="381" t="s">
        <v>84</v>
      </c>
      <c r="AB179" s="382"/>
      <c r="AC179" s="382"/>
      <c r="AD179" s="383"/>
    </row>
    <row r="180" spans="1:30" ht="15.75" thickBot="1" x14ac:dyDescent="0.3">
      <c r="A180" s="115" t="s">
        <v>10</v>
      </c>
      <c r="B180" s="116" t="s">
        <v>51</v>
      </c>
      <c r="C180" s="319">
        <v>1</v>
      </c>
      <c r="D180" s="319">
        <v>2</v>
      </c>
      <c r="E180" s="319">
        <v>3</v>
      </c>
      <c r="F180" s="319">
        <v>4</v>
      </c>
      <c r="G180" s="118">
        <v>1</v>
      </c>
      <c r="H180" s="118">
        <v>2</v>
      </c>
      <c r="I180" s="118">
        <v>3</v>
      </c>
      <c r="J180" s="118">
        <v>4</v>
      </c>
      <c r="K180" s="119">
        <v>1</v>
      </c>
      <c r="L180" s="119">
        <v>2</v>
      </c>
      <c r="M180" s="119">
        <v>3</v>
      </c>
      <c r="N180" s="120">
        <v>4</v>
      </c>
      <c r="O180" s="118">
        <v>1</v>
      </c>
      <c r="P180" s="119">
        <v>2</v>
      </c>
      <c r="Q180" s="118">
        <v>3</v>
      </c>
      <c r="R180" s="119">
        <v>4</v>
      </c>
      <c r="S180" s="121" t="s">
        <v>63</v>
      </c>
      <c r="T180" s="122" t="s">
        <v>64</v>
      </c>
      <c r="W180" s="3"/>
      <c r="X180" s="2">
        <v>8</v>
      </c>
      <c r="Y180" s="311" t="s">
        <v>70</v>
      </c>
      <c r="Z180" s="312" t="str">
        <f>CONCATENATE(IF(AND(C171&gt;E171,G171&gt;C171),"[Structure Violaton: B passed X] ",""),IF(AND(C171&lt;E171,G171&lt;C171),"[Structure Violation: B passed X] ",""))</f>
        <v/>
      </c>
      <c r="AA180" s="381" t="s">
        <v>85</v>
      </c>
      <c r="AB180" s="382"/>
      <c r="AC180" s="382"/>
      <c r="AD180" s="383"/>
    </row>
    <row r="181" spans="1:30" ht="15.75" thickBot="1" x14ac:dyDescent="0.3">
      <c r="A181" s="125" t="s">
        <v>11</v>
      </c>
      <c r="B181" s="320" t="s">
        <v>6</v>
      </c>
      <c r="C181" s="321">
        <v>0.38200000000000001</v>
      </c>
      <c r="D181" s="322">
        <v>0.61799999999999999</v>
      </c>
      <c r="E181" s="322"/>
      <c r="F181" s="323"/>
      <c r="G181" s="130">
        <f>IF(C171&gt;E171,IF(C181&gt;0,E171+(D173*C181),0),IF(C181&gt;0,E171-(D173*C181),0))</f>
        <v>1.4292</v>
      </c>
      <c r="H181" s="131">
        <f>IF(C171&gt;E171,IF(D181&gt;0,E171+(D173*D181),0),IF(D181&gt;0,E171-(D173*D181),0))</f>
        <v>1.5708</v>
      </c>
      <c r="I181" s="131">
        <f>IF(C171&gt;E171,IF(E181&gt;0,E171+(D173*E181),0),IF(E181&gt;0,E171-(D173*E181),0))</f>
        <v>0</v>
      </c>
      <c r="J181" s="131">
        <f>IF(C171&gt;E171,IF(F181&gt;0,E171+(D173*F181),0),IF(F181&gt;0,E171-(D173*F181),0))</f>
        <v>0</v>
      </c>
      <c r="K181" s="133">
        <f>IF(C181&gt;0,IF(G181&lt;G171,G171-G181,G181-G171),0)</f>
        <v>0.14080000000000004</v>
      </c>
      <c r="L181" s="134">
        <f>IF(D181&gt;0,IF(H181&lt;G171,G171-H181,H181-G171),0)</f>
        <v>7.9999999999991189E-4</v>
      </c>
      <c r="M181" s="134">
        <f>IF(E181&gt;0,IF(I181&lt;G171,G171-I181,I181-G171),0)</f>
        <v>0</v>
      </c>
      <c r="N181" s="135">
        <f>IF(F181&gt;0,IF(J181&lt;G171,G171-J181,J181-G171),0)</f>
        <v>0</v>
      </c>
      <c r="O181" s="130">
        <f t="shared" ref="O181:O183" si="66">IF(C181=0,"No Data",G181)</f>
        <v>1.4292</v>
      </c>
      <c r="P181" s="131">
        <f t="shared" ref="P181:P183" si="67">IF(D181=0,"No Data",H181)</f>
        <v>1.5708</v>
      </c>
      <c r="Q181" s="131" t="str">
        <f t="shared" ref="Q181:Q189" si="68">IF(E181=0,"No Data",I181)</f>
        <v>No Data</v>
      </c>
      <c r="R181" s="132" t="str">
        <f t="shared" ref="R181:R183" si="69">IF(F181=0,"No Data",J181)</f>
        <v>No Data</v>
      </c>
      <c r="S181" s="136">
        <f t="shared" ref="S181:S185" si="70">MAX(O181:R181)</f>
        <v>1.5708</v>
      </c>
      <c r="T181" s="137">
        <f t="shared" ref="T181:T182" si="71">MIN(O181:R181)</f>
        <v>1.4292</v>
      </c>
      <c r="W181" s="3"/>
      <c r="X181" s="2">
        <v>9</v>
      </c>
      <c r="Y181" s="311" t="s">
        <v>57</v>
      </c>
      <c r="Z181" s="312" t="str">
        <f>CONCATENATE(IF(AND(C171&gt;E171,I171&gt;E171),"[Structure Violation: C above A] ",""),IF(AND(C171&lt;E171,I171&lt;E171),"[Structure Violation: C below A] ",""))</f>
        <v xml:space="preserve">[Structure Violation: C above A] </v>
      </c>
      <c r="AA181" s="381" t="s">
        <v>86</v>
      </c>
      <c r="AB181" s="382"/>
      <c r="AC181" s="382"/>
      <c r="AD181" s="383"/>
    </row>
    <row r="182" spans="1:30" ht="15.75" thickBot="1" x14ac:dyDescent="0.3">
      <c r="A182" s="125" t="s">
        <v>12</v>
      </c>
      <c r="B182" s="324" t="s">
        <v>7</v>
      </c>
      <c r="C182" s="325">
        <v>0.38200000000000001</v>
      </c>
      <c r="D182" s="326">
        <v>0.88600000000000001</v>
      </c>
      <c r="E182" s="326"/>
      <c r="F182" s="327"/>
      <c r="G182" s="143">
        <f>IF(C171&gt;E171,IF(C182&gt;0,G171-(F173*C182),0),IF(C182&gt;0,G171+(F173*C182),0))</f>
        <v>1.42866</v>
      </c>
      <c r="H182" s="144">
        <f>IF(C171&gt;E171,IF(D182&gt;0,G171-(F173*D182),0),IF(D182&gt;0,G171+(F173*D182),0))</f>
        <v>1.2421799999999998</v>
      </c>
      <c r="I182" s="144">
        <f>IF(C171&gt;E171,IF(E182&gt;0,G171-(F173*E182),0),IF(E182&gt;0,G171+(F173*E182),0))</f>
        <v>0</v>
      </c>
      <c r="J182" s="328">
        <f>IF(C171&gt;E171,IF(F182&gt;0,G171-(F173*F182),0),IF(F182&gt;0,G171+(F173*F182),0))</f>
        <v>0</v>
      </c>
      <c r="K182" s="146">
        <f>IF(C182&gt;0,IF(G182&lt;I171,I171-G182,G182-I171),0)</f>
        <v>0.14966000000000013</v>
      </c>
      <c r="L182" s="147">
        <f>IF(D182&gt;0,IF(H182&lt;I171,I171-H182,H182-I171),0)</f>
        <v>3.6820000000000075E-2</v>
      </c>
      <c r="M182" s="147">
        <f>IF(E182&gt;0,IF(I182&lt;I171,I171-I182,I182-I171),0)</f>
        <v>0</v>
      </c>
      <c r="N182" s="148">
        <f>IF(F182&gt;0,IF(J182&lt;I171,I171-J182,J182-I171),0)</f>
        <v>0</v>
      </c>
      <c r="O182" s="143">
        <f t="shared" si="66"/>
        <v>1.42866</v>
      </c>
      <c r="P182" s="144">
        <f t="shared" si="67"/>
        <v>1.2421799999999998</v>
      </c>
      <c r="Q182" s="144" t="str">
        <f t="shared" si="68"/>
        <v>No Data</v>
      </c>
      <c r="R182" s="145" t="str">
        <f t="shared" si="69"/>
        <v>No Data</v>
      </c>
      <c r="S182" s="149">
        <f t="shared" si="70"/>
        <v>1.42866</v>
      </c>
      <c r="T182" s="150">
        <f t="shared" si="71"/>
        <v>1.2421799999999998</v>
      </c>
      <c r="W182" s="3"/>
      <c r="X182" s="2">
        <v>10</v>
      </c>
      <c r="Y182" s="311" t="s">
        <v>57</v>
      </c>
      <c r="Z182" s="318" t="str">
        <f>CONCATENATE(IF(AND(C171&gt;E171,G171&gt;K171),"[Structure Violation: B above D] ",""),IF(AND(C171&lt;E171,G171&lt;K171),"[Structure Violation: B below D] ",""))</f>
        <v/>
      </c>
      <c r="AA182" s="381" t="s">
        <v>87</v>
      </c>
      <c r="AB182" s="382"/>
      <c r="AC182" s="382"/>
      <c r="AD182" s="383"/>
    </row>
    <row r="183" spans="1:30" ht="15.75" thickBot="1" x14ac:dyDescent="0.3">
      <c r="A183" s="125" t="s">
        <v>13</v>
      </c>
      <c r="B183" s="324" t="s">
        <v>8</v>
      </c>
      <c r="C183" s="325">
        <v>2.6179999999999999</v>
      </c>
      <c r="D183" s="326">
        <v>3.14</v>
      </c>
      <c r="E183" s="326">
        <v>3.6179999999999999</v>
      </c>
      <c r="F183" s="327"/>
      <c r="G183" s="143">
        <f>IF(C171&gt;E171,IF(C183&gt;0,I171+(H173*C183),0),IF(C183&gt;0,I171-(H173*C183),0))</f>
        <v>2.0408380000000004</v>
      </c>
      <c r="H183" s="144">
        <f>IF(C171&gt;E171,IF(D183&gt;0,I171+(H173*D183),0),IF(D183&gt;0,I171-(H173*D183),0))</f>
        <v>2.1927400000000006</v>
      </c>
      <c r="I183" s="144">
        <f>IF(C171&gt;E171,IF(E183&gt;0,I171+(H173*E183),0),IF(E183&gt;0,I171-(H173*E183),0))</f>
        <v>2.3318380000000003</v>
      </c>
      <c r="J183" s="328">
        <f>IF(C171&gt;E171,IF(F183&gt;0,I171+(H173*F183),0),IF(F183&gt;0,I171-(H173*F183),0))</f>
        <v>0</v>
      </c>
      <c r="K183" s="146">
        <f>IF(C183&gt;0,IF(G183&lt;K171,K171-G183,G183-K171),0)</f>
        <v>0.37083800000000045</v>
      </c>
      <c r="L183" s="147">
        <f>IF(D183&gt;0,IF(H183&lt;K171,K171-H183,H183-K171),0)</f>
        <v>0.52274000000000065</v>
      </c>
      <c r="M183" s="147">
        <f>IF(E183&gt;0,IF(I183&lt;K171,K171-I183,I183-K171),0)</f>
        <v>0.66183800000000037</v>
      </c>
      <c r="N183" s="148">
        <f>IF(F183&gt;0,IF(J183&lt;K171,K171-J183,J183-K171),0)</f>
        <v>0</v>
      </c>
      <c r="O183" s="143">
        <f t="shared" si="66"/>
        <v>2.0408380000000004</v>
      </c>
      <c r="P183" s="144">
        <f t="shared" si="67"/>
        <v>2.1927400000000006</v>
      </c>
      <c r="Q183" s="144">
        <f t="shared" si="68"/>
        <v>2.3318380000000003</v>
      </c>
      <c r="R183" s="145" t="str">
        <f t="shared" si="69"/>
        <v>No Data</v>
      </c>
      <c r="S183" s="151">
        <f t="shared" si="70"/>
        <v>2.3318380000000003</v>
      </c>
      <c r="T183" s="150">
        <f>MIN(O183:R183)</f>
        <v>2.0408380000000004</v>
      </c>
      <c r="W183" s="3"/>
      <c r="X183" s="2">
        <v>11</v>
      </c>
      <c r="Y183" s="311" t="s">
        <v>70</v>
      </c>
      <c r="Z183" s="312" t="str">
        <f>CONCATENATE(IF(AND(C171&gt;E171,K171&lt;C171),"[Structure Violation: D below X] ",""),IF(AND(C171&lt;E171,K171&gt;C171),"[Structure Violation: D above X] ",""))</f>
        <v xml:space="preserve">[Structure Violation: D below X] </v>
      </c>
      <c r="AA183" s="381" t="s">
        <v>88</v>
      </c>
      <c r="AB183" s="382"/>
      <c r="AC183" s="382"/>
      <c r="AD183" s="383"/>
    </row>
    <row r="184" spans="1:30" ht="15.75" thickBot="1" x14ac:dyDescent="0.3">
      <c r="A184" s="125" t="s">
        <v>14</v>
      </c>
      <c r="B184" s="324" t="s">
        <v>6</v>
      </c>
      <c r="C184" s="325">
        <v>1.6180000000000001</v>
      </c>
      <c r="D184" s="326"/>
      <c r="E184" s="326"/>
      <c r="F184" s="327"/>
      <c r="G184" s="152">
        <f>IF(C171&gt;E171,IF(C184&gt;0,E171+(D173*C184),0),IF(C184&gt;0,E171-(D173*C184),0))</f>
        <v>2.1708000000000003</v>
      </c>
      <c r="H184" s="144">
        <f>IF(C171&gt;E171,IF(D184&gt;0,E171+(D173*D184),0),IF(D184&gt;0,E171-(D173*D184),0))</f>
        <v>0</v>
      </c>
      <c r="I184" s="144">
        <f>IF(C171&gt;E171,IF(E184&gt;0,E171+(D173*E184),0),IF(E184&gt;0,E171-(D173*E184),0))</f>
        <v>0</v>
      </c>
      <c r="J184" s="329">
        <f>IF(C171&gt;E171,IF(F184&gt;0,E171+(D173*F184),0),IF(F184&gt;0,E171-(D173*F184),0))</f>
        <v>0</v>
      </c>
      <c r="K184" s="146">
        <f>IF(C184&gt;0,IF(G184&lt;K171,K171-G184,G184-K171),0)</f>
        <v>0.50080000000000036</v>
      </c>
      <c r="L184" s="147">
        <f>IF(D184&gt;0,IF(H184&lt;K171,K171-H184,H184-K171),0)</f>
        <v>0</v>
      </c>
      <c r="M184" s="147">
        <f>IF(E184&gt;0,IF(I184&lt;K171,K171-I184,I184-K171),0)</f>
        <v>0</v>
      </c>
      <c r="N184" s="148">
        <f>IF(F184&gt;0,IF(J184&lt;K171,K171-J184,J184-K171),0)</f>
        <v>0</v>
      </c>
      <c r="O184" s="152">
        <f>IF(C184=0,"No Data",G184)</f>
        <v>2.1708000000000003</v>
      </c>
      <c r="P184" s="144" t="str">
        <f>IF(D184=0,"No Data",H184)</f>
        <v>No Data</v>
      </c>
      <c r="Q184" s="144" t="str">
        <f t="shared" si="68"/>
        <v>No Data</v>
      </c>
      <c r="R184" s="153" t="str">
        <f>IF(F184=0,"No Data",J184)</f>
        <v>No Data</v>
      </c>
      <c r="S184" s="149">
        <f t="shared" si="70"/>
        <v>2.1708000000000003</v>
      </c>
      <c r="T184" s="150">
        <f t="shared" ref="T184:T185" si="72">MIN(O184:R184)</f>
        <v>2.1708000000000003</v>
      </c>
      <c r="W184" s="3"/>
      <c r="X184" s="2">
        <v>12</v>
      </c>
      <c r="Y184" s="311" t="s">
        <v>57</v>
      </c>
      <c r="Z184" s="312" t="str">
        <f>CONCATENATE(IF(AND(C171&gt;E171,K171&gt;G171),"[Structure Violation: D passed B] ",""),IF(AND(C171&lt;E171,K171&lt;G171),"[Structure Violation: D passed B] ",""))</f>
        <v xml:space="preserve">[Structure Violation: D passed B] </v>
      </c>
      <c r="AA184" s="381" t="s">
        <v>89</v>
      </c>
      <c r="AB184" s="382"/>
      <c r="AC184" s="382"/>
      <c r="AD184" s="383"/>
    </row>
    <row r="185" spans="1:30" ht="15.75" thickBot="1" x14ac:dyDescent="0.3">
      <c r="A185" s="125" t="s">
        <v>29</v>
      </c>
      <c r="B185" s="331" t="s">
        <v>7</v>
      </c>
      <c r="C185" s="332">
        <v>1.272</v>
      </c>
      <c r="D185" s="333">
        <v>1.6180000000000001</v>
      </c>
      <c r="E185" s="333"/>
      <c r="F185" s="334"/>
      <c r="G185" s="159">
        <f>IF(C171&gt;E171,IF(C185&gt;0,I171+(F173*C185),0),IF(C185&gt;0,I171-(F173*C185),0))</f>
        <v>1.7496400000000001</v>
      </c>
      <c r="H185" s="160">
        <f>IF(C171&gt;E171,IF(D185&gt;0,I171+(F173*D185),0),IF(D185&gt;0,I171-(F173*D185),0))</f>
        <v>1.8776600000000001</v>
      </c>
      <c r="I185" s="160">
        <f>IF(C171&gt;E171,IF(E185&gt;0,I171+(F173*E185),0),IF(E185&gt;0,I171-(F173*E185),0))</f>
        <v>0</v>
      </c>
      <c r="J185" s="160">
        <f>IF(C171&gt;E171,IF(F185&gt;0,I171+(F173*F185),0),IF(F185&gt;0,I171-(F173*F185),0))</f>
        <v>0</v>
      </c>
      <c r="K185" s="162">
        <f>IF(C185&gt;0,IF(G185&lt;K171,K171-G185,G185-K171),0)</f>
        <v>7.9640000000000155E-2</v>
      </c>
      <c r="L185" s="163">
        <f>IF(D185&gt;0,IF(H185&lt;K171,K171-H185,H185-K171),0)</f>
        <v>0.20766000000000018</v>
      </c>
      <c r="M185" s="163">
        <f>IF(E185&gt;0,IF(I185&lt;K171,K171-I185,I185-K171),0)</f>
        <v>0</v>
      </c>
      <c r="N185" s="164">
        <f>IF(F185&gt;0,IF(J185&lt;K171,K171-J185,J185-K171),0)</f>
        <v>0</v>
      </c>
      <c r="O185" s="159">
        <f t="shared" ref="O185" si="73">IF(C185=0,"No Data",G185)</f>
        <v>1.7496400000000001</v>
      </c>
      <c r="P185" s="160">
        <f t="shared" ref="P185" si="74">IF(D185=0,"No Data",H185)</f>
        <v>1.8776600000000001</v>
      </c>
      <c r="Q185" s="160" t="str">
        <f t="shared" si="68"/>
        <v>No Data</v>
      </c>
      <c r="R185" s="161" t="str">
        <f t="shared" ref="R185:R189" si="75">IF(F185=0,"No Data",J185)</f>
        <v>No Data</v>
      </c>
      <c r="S185" s="165">
        <f t="shared" si="70"/>
        <v>1.8776600000000001</v>
      </c>
      <c r="T185" s="166">
        <f t="shared" si="72"/>
        <v>1.7496400000000001</v>
      </c>
      <c r="W185" s="3"/>
      <c r="X185" s="2">
        <v>13</v>
      </c>
      <c r="Y185" s="311" t="s">
        <v>57</v>
      </c>
      <c r="Z185" s="312" t="str">
        <f>CONCATENATE(IF(AND(C171&gt;E171,G171&lt;C171),"[Structure Violation: B below X] ",""),IF(AND(C171&lt;E171,G171&gt;C171),"[Structure Violation: B above X] ",""))</f>
        <v xml:space="preserve">[Structure Violation: B below X] </v>
      </c>
      <c r="AA185" s="381" t="s">
        <v>90</v>
      </c>
      <c r="AB185" s="382"/>
      <c r="AC185" s="382"/>
      <c r="AD185" s="383"/>
    </row>
    <row r="186" spans="1:30" ht="16.5" thickTop="1" thickBot="1" x14ac:dyDescent="0.3">
      <c r="A186" s="12" t="s">
        <v>47</v>
      </c>
      <c r="B186" s="335" t="s">
        <v>6</v>
      </c>
      <c r="C186" s="336">
        <v>2.6179999999999999</v>
      </c>
      <c r="D186" s="337">
        <v>2.786</v>
      </c>
      <c r="E186" s="337"/>
      <c r="F186" s="338"/>
      <c r="G186" s="339">
        <f>E169*C186</f>
        <v>23.561999999999998</v>
      </c>
      <c r="H186" s="174">
        <f>E169*D186</f>
        <v>25.074000000000002</v>
      </c>
      <c r="I186" s="175">
        <f>E169*E186</f>
        <v>0</v>
      </c>
      <c r="J186" s="176">
        <f>E169*F186</f>
        <v>0</v>
      </c>
      <c r="K186" s="177">
        <f>IF(C186=0,0,IF(K169&gt;G186,K169-G186,G186-K169))</f>
        <v>6.4380000000000024</v>
      </c>
      <c r="L186" s="178">
        <f>IF(D186=0,0,IF(K169&gt;H186,K169-H186,H186-K169))</f>
        <v>4.9259999999999984</v>
      </c>
      <c r="M186" s="178">
        <f>IF(E186=0,0,IF(K169&gt;I186,K169-I186,I186-K169))</f>
        <v>0</v>
      </c>
      <c r="N186" s="179">
        <f>IF(F186=0,0,IF(K169&gt;J186,K169-J186,J186-K169))</f>
        <v>0</v>
      </c>
      <c r="O186" s="339">
        <f>IF(C186=0,"No Data",G186)</f>
        <v>23.561999999999998</v>
      </c>
      <c r="P186" s="174">
        <f>IF(D186=0,"No Data",H186)</f>
        <v>25.074000000000002</v>
      </c>
      <c r="Q186" s="175" t="str">
        <f t="shared" si="68"/>
        <v>No Data</v>
      </c>
      <c r="R186" s="176" t="str">
        <f t="shared" si="75"/>
        <v>No Data</v>
      </c>
      <c r="S186" s="180"/>
      <c r="T186" s="181"/>
      <c r="W186" s="3"/>
      <c r="X186" s="2">
        <v>14</v>
      </c>
      <c r="Y186" s="311" t="s">
        <v>57</v>
      </c>
      <c r="Z186" s="312" t="str">
        <f>CONCATENATE(IF(AND(E171&gt;G171,M171&gt;I171),"[Structure Violation: E passed C] ",""),IF(AND(E171&lt;G171,M171&lt;I171),"[Structure Violation: E passed C] ",""))</f>
        <v xml:space="preserve">[Structure Violation: E passed C] </v>
      </c>
      <c r="AA186" s="381" t="s">
        <v>94</v>
      </c>
      <c r="AB186" s="382"/>
      <c r="AC186" s="382"/>
      <c r="AD186" s="383"/>
    </row>
    <row r="187" spans="1:30" ht="15.75" thickBot="1" x14ac:dyDescent="0.3">
      <c r="A187" s="12" t="s">
        <v>47</v>
      </c>
      <c r="B187" s="340" t="s">
        <v>74</v>
      </c>
      <c r="C187" s="341">
        <v>2</v>
      </c>
      <c r="D187" s="342">
        <v>1.8859999999999999</v>
      </c>
      <c r="E187" s="342"/>
      <c r="F187" s="351"/>
      <c r="G187" s="191">
        <f>G169*C187</f>
        <v>32</v>
      </c>
      <c r="H187" s="186">
        <f>G169*D187</f>
        <v>30.175999999999998</v>
      </c>
      <c r="I187" s="186">
        <f>G169*E187</f>
        <v>0</v>
      </c>
      <c r="J187" s="344">
        <f>G169*F187</f>
        <v>0</v>
      </c>
      <c r="K187" s="345">
        <f>IF(C187=0,0,IF(K169&gt;G187,K169-G187,G187-K169))</f>
        <v>2</v>
      </c>
      <c r="L187" s="189">
        <f>IF(D187=0,0,IF(K169&gt;H187,K169-H187,H187-K169))</f>
        <v>0.17599999999999838</v>
      </c>
      <c r="M187" s="189">
        <f>IF(E187=0,0,IF(K169&gt;I187,K169-I187,I187-K169))</f>
        <v>0</v>
      </c>
      <c r="N187" s="178">
        <f>IF(F187=0,0,IF(K169&gt;J187,K169-J187,J187-K169))</f>
        <v>0</v>
      </c>
      <c r="O187" s="191">
        <f>IF(C187=0,"No Data",G187)</f>
        <v>32</v>
      </c>
      <c r="P187" s="186">
        <f t="shared" ref="P187:P189" si="76">IF(D187=0,"No Data",H187)</f>
        <v>30.175999999999998</v>
      </c>
      <c r="Q187" s="186" t="str">
        <f t="shared" si="68"/>
        <v>No Data</v>
      </c>
      <c r="R187" s="344" t="str">
        <f t="shared" si="75"/>
        <v>No Data</v>
      </c>
      <c r="S187" s="195"/>
      <c r="T187" s="196"/>
      <c r="W187" s="3"/>
      <c r="X187" s="2">
        <v>15</v>
      </c>
      <c r="Y187" s="311" t="s">
        <v>57</v>
      </c>
      <c r="Z187" s="317"/>
      <c r="AA187" s="346"/>
      <c r="AB187" s="347"/>
      <c r="AC187" s="347"/>
      <c r="AD187" s="348"/>
    </row>
    <row r="188" spans="1:30" ht="15.75" thickBot="1" x14ac:dyDescent="0.3">
      <c r="A188" s="12" t="s">
        <v>46</v>
      </c>
      <c r="B188" s="139" t="s">
        <v>6</v>
      </c>
      <c r="C188" s="349">
        <v>1.6180000000000001</v>
      </c>
      <c r="D188" s="350">
        <v>1.786</v>
      </c>
      <c r="E188" s="350"/>
      <c r="F188" s="343"/>
      <c r="G188" s="201">
        <f>E169*C188</f>
        <v>14.562000000000001</v>
      </c>
      <c r="H188" s="202">
        <f>E169*D188</f>
        <v>16.074000000000002</v>
      </c>
      <c r="I188" s="202">
        <f>E169*E188</f>
        <v>0</v>
      </c>
      <c r="J188" s="203">
        <f>E169*F188</f>
        <v>0</v>
      </c>
      <c r="K188" s="204">
        <f>IF(C188=0,0,IF(G169&gt;G188,G169-G188,G188-G169))</f>
        <v>1.4379999999999988</v>
      </c>
      <c r="L188" s="205">
        <f>IF(D188=0,0,IF(G169&gt;H188,G169-H188,H188-G169))</f>
        <v>7.400000000000162E-2</v>
      </c>
      <c r="M188" s="205">
        <f>IF(E188=0,0,IF(G169&gt;I188,G169-I188,I188-G169))</f>
        <v>0</v>
      </c>
      <c r="N188" s="206">
        <f>IF(F188=0,0,IF(G169&gt;J188,G169-J188,J188-G169))</f>
        <v>0</v>
      </c>
      <c r="O188" s="201">
        <f t="shared" ref="O188:O189" si="77">IF(C188=0,"No Data",G188)</f>
        <v>14.562000000000001</v>
      </c>
      <c r="P188" s="202">
        <f t="shared" si="76"/>
        <v>16.074000000000002</v>
      </c>
      <c r="Q188" s="202" t="str">
        <f t="shared" si="68"/>
        <v>No Data</v>
      </c>
      <c r="R188" s="203" t="str">
        <f t="shared" si="75"/>
        <v>No Data</v>
      </c>
      <c r="S188" s="207"/>
      <c r="T188" s="208"/>
      <c r="W188" s="3"/>
    </row>
    <row r="189" spans="1:30" ht="15.75" thickBot="1" x14ac:dyDescent="0.3">
      <c r="A189" s="12" t="s">
        <v>66</v>
      </c>
      <c r="B189" s="354" t="s">
        <v>6</v>
      </c>
      <c r="C189" s="355"/>
      <c r="D189" s="356"/>
      <c r="E189" s="356"/>
      <c r="F189" s="357"/>
      <c r="G189" s="213">
        <f>E169*C189</f>
        <v>0</v>
      </c>
      <c r="H189" s="214">
        <f>E169*D189</f>
        <v>0</v>
      </c>
      <c r="I189" s="214">
        <f>E169*E189</f>
        <v>0</v>
      </c>
      <c r="J189" s="215">
        <f>E169*F189</f>
        <v>0</v>
      </c>
      <c r="K189" s="216">
        <f>IF(C189=0,0,IF(I169&gt;G189,I169-G189,G189-I169))</f>
        <v>0</v>
      </c>
      <c r="L189" s="217">
        <f>IF(D189=0,0,IF(I169&gt;H189,I169-H189,H189-I169))</f>
        <v>0</v>
      </c>
      <c r="M189" s="217">
        <f>IF(E189=0,0,IF(I169&gt;I189,I169-I189,I189-I169))</f>
        <v>0</v>
      </c>
      <c r="N189" s="218">
        <f>IF(F189=0,0,IF(I169&gt;J189,I169-J189,J189-I169))</f>
        <v>0</v>
      </c>
      <c r="O189" s="213" t="str">
        <f t="shared" si="77"/>
        <v>No Data</v>
      </c>
      <c r="P189" s="214" t="str">
        <f t="shared" si="76"/>
        <v>No Data</v>
      </c>
      <c r="Q189" s="214" t="str">
        <f t="shared" si="68"/>
        <v>No Data</v>
      </c>
      <c r="R189" s="215" t="str">
        <f t="shared" si="75"/>
        <v>No Data</v>
      </c>
      <c r="S189" s="219"/>
      <c r="T189" s="220"/>
      <c r="W189" s="3"/>
    </row>
    <row r="190" spans="1:30" ht="15.75" thickBot="1" x14ac:dyDescent="0.3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226"/>
      <c r="W190" s="3"/>
    </row>
    <row r="191" spans="1:30" ht="15.75" thickBot="1" x14ac:dyDescent="0.3">
      <c r="A191" s="76"/>
      <c r="C191" s="454" t="s">
        <v>53</v>
      </c>
      <c r="D191" s="455"/>
      <c r="E191" s="455"/>
      <c r="F191" s="456"/>
      <c r="G191" s="454" t="s">
        <v>68</v>
      </c>
      <c r="H191" s="455"/>
      <c r="I191" s="456"/>
      <c r="K191" s="223"/>
      <c r="L191" s="224"/>
      <c r="M191" s="224"/>
      <c r="N191" s="224"/>
      <c r="O191" s="224"/>
      <c r="P191" s="225"/>
      <c r="Q191" s="226"/>
      <c r="R191" s="226"/>
      <c r="S191" s="227"/>
      <c r="T191" s="226"/>
      <c r="U191" s="76"/>
      <c r="W191" s="3"/>
    </row>
    <row r="192" spans="1:30" ht="15.75" thickBot="1" x14ac:dyDescent="0.3">
      <c r="A192" s="115" t="s">
        <v>10</v>
      </c>
      <c r="B192" s="116" t="s">
        <v>51</v>
      </c>
      <c r="C192" s="228">
        <v>1</v>
      </c>
      <c r="D192" s="228">
        <v>2</v>
      </c>
      <c r="E192" s="228">
        <v>3</v>
      </c>
      <c r="F192" s="228">
        <v>4</v>
      </c>
      <c r="G192" s="229" t="s">
        <v>69</v>
      </c>
      <c r="H192" s="230" t="s">
        <v>35</v>
      </c>
      <c r="I192" s="230" t="s">
        <v>55</v>
      </c>
      <c r="K192" s="452" t="s">
        <v>134</v>
      </c>
      <c r="L192" s="453"/>
      <c r="M192" s="452" t="s">
        <v>135</v>
      </c>
      <c r="N192" s="453"/>
      <c r="O192" s="452" t="s">
        <v>136</v>
      </c>
      <c r="P192" s="453"/>
      <c r="W192" s="3"/>
    </row>
    <row r="193" spans="1:30" ht="15.75" customHeight="1" thickBot="1" x14ac:dyDescent="0.3">
      <c r="A193" s="125" t="s">
        <v>11</v>
      </c>
      <c r="B193" s="320" t="s">
        <v>6</v>
      </c>
      <c r="C193" s="231">
        <f>IF(C181=0,"No Data",K181/(F174/100))</f>
        <v>61.431064572425825</v>
      </c>
      <c r="D193" s="232">
        <f>IF(D181=0,"No Data",L181/(F175/100))</f>
        <v>0.2157497303128133</v>
      </c>
      <c r="E193" s="233" t="str">
        <f>IF(E181=0,"No Data",M181/(F176/100))</f>
        <v>No Data</v>
      </c>
      <c r="F193" s="232" t="str">
        <f>IF(F181=0,"No Data",N181/(F177/100))</f>
        <v>No Data</v>
      </c>
      <c r="G193" s="234" t="str">
        <f>IF(COUNT(O181:R181)=1,"1Fib",IF(COUNT(O181:R181)&lt;2,"No Data",IF(AND(S181&gt;G171,G171&gt;T181),"Yes","No")))</f>
        <v>Yes</v>
      </c>
      <c r="H193" s="235">
        <f>IF(COUNTBLANK(C181:F181)=4,"No Data",MIN(C193:F193))</f>
        <v>0.2157497303128133</v>
      </c>
      <c r="I193" s="236"/>
      <c r="K193" s="238" t="str">
        <f>CONCATENATE(IF(L193=1,IF(OR(AND(G193="1Fib",H193&lt;$Z$51),AND(G193="Yes",H193&lt;$Z$51),AND(G193="No",H193&lt;$Z$51)),"Valid","Invalid"),""),IF(L193=2,IF(OR(AND(G193="1Fib",H193&lt;$Z$51),AND(G193="Yes",H193&lt;$Z$51),AND(G193="Yes",H193&gt;$Z$51)),"Valid","Invalid"),""),IF(L193=3,IF(OR(AND(G193="1Fib",H193&lt;$Z$51),AND(G193="Yes",H193&lt;$Z$51),AND(G193="Yes",H193&gt;$Z$51),AND(G193="No",H193&lt;$Z$51)),"Valid","Invalid"),""))</f>
        <v>Valid</v>
      </c>
      <c r="L193" s="342">
        <v>2</v>
      </c>
      <c r="M193" s="238" t="str">
        <f>CONCATENATE(IF(N193=1,IF(OR(AND(G193="1Fib",H193&lt;$Z$51),AND(G193="Yes",H193&lt;$Z$51),AND(G193="No",H193&lt;$Z$51)),"Valid","Invalid"),""),IF(N193=2,IF(OR(AND(G193="1Fib",H193&lt;$Z$51),AND(G193="Yes",H193&lt;$Z$51),AND(G193="Yes",H193&gt;$Z$51)),"Valid","Invalid"),""),IF(N193=3,IF(OR(AND(G193="1Fib",H193&lt;$Z$51),AND(G193="Yes",H193&lt;$Z$51),AND(G193="Yes",H193&gt;$Z$51),AND(G193="No",H193&lt;$Z$51)),"Valid","Invalid"),""))</f>
        <v>Valid</v>
      </c>
      <c r="N193" s="342">
        <v>1</v>
      </c>
      <c r="O193" s="238" t="str">
        <f>CONCATENATE(IF(P193=1,IF(OR(AND(G193="1Fib",H193&lt;$Z$51),AND(G193="Yes",H193&lt;$Z$51),AND(G193="No",H193&lt;$Z$51)),"Valid","Invalid"),""),IF(P193=2,IF(OR(AND(G193="1Fib",H193&lt;$Z$51),AND(G193="Yes",H193&lt;$Z$51),AND(G193="Yes",H193&gt;$Z$51)),"Valid","Invalid"),""),IF(P193=3,IF(OR(AND(G193="1Fib",H193&lt;$Z$51),AND(G193="Yes",H193&lt;$Z$51),AND(G193="Yes",H193&gt;$Z$51),AND(G193="No",H193&lt;$Z$51)),"Valid","Invalid"),""))</f>
        <v>Valid</v>
      </c>
      <c r="P193" s="342">
        <v>3</v>
      </c>
      <c r="Q193" s="242" t="s">
        <v>106</v>
      </c>
      <c r="R193" s="243">
        <f>IF(Z198="Y",I195,MAX(H193, H194, I195))</f>
        <v>16.921638619751853</v>
      </c>
      <c r="S193" s="372" t="str">
        <f>IF(R199="","Structure approved","Structure fault!")</f>
        <v>Structure fault!</v>
      </c>
      <c r="T193" s="373"/>
      <c r="U193" s="374"/>
      <c r="W193" s="3"/>
      <c r="Y193" s="226"/>
      <c r="Z193" s="418" t="s">
        <v>45</v>
      </c>
      <c r="AA193" s="419"/>
      <c r="AB193" s="420"/>
      <c r="AC193" s="226"/>
    </row>
    <row r="194" spans="1:30" ht="15.75" customHeight="1" thickBot="1" x14ac:dyDescent="0.3">
      <c r="A194" s="125" t="s">
        <v>12</v>
      </c>
      <c r="B194" s="324" t="s">
        <v>7</v>
      </c>
      <c r="C194" s="244">
        <f>IF(C182=0,"No Data",K182/(H174/100))</f>
        <v>105.88651478703841</v>
      </c>
      <c r="D194" s="245">
        <f>IF(D182=0,"No Data",L182/(H175/100))</f>
        <v>11.231773534256623</v>
      </c>
      <c r="E194" s="246" t="str">
        <f>IF(E182=0,"No Data",M182/(H176/100))</f>
        <v>No Data</v>
      </c>
      <c r="F194" s="245" t="str">
        <f>IF(F182=0,"No Data",N182/(H177/100))</f>
        <v>No Data</v>
      </c>
      <c r="G194" s="247" t="str">
        <f>IF(COUNT(O182:R182)=1,"1Fib",IF(COUNT(O182:R182)&lt;2,"No Data",IF(AND(S182&gt;I171,I171&gt;T182),"Yes","No")))</f>
        <v>Yes</v>
      </c>
      <c r="H194" s="270">
        <f>IF(COUNTBLANK(C182:F182)=4,"No Data",MIN(C194:F194))</f>
        <v>11.231773534256623</v>
      </c>
      <c r="I194" s="248"/>
      <c r="K194" s="249" t="str">
        <f>CONCATENATE(IF(L194=1,IF(OR(AND(G194="1Fib",H194&lt;$Z$51),AND(G194="Yes",H194&lt;$Z$51),AND(G194="No",H194&lt;$Z$51)),"Valid","Invalid"),""),IF(L194=2,IF(OR(AND(G194="1Fib",H194&lt;$Z$51),AND(G194="Yes",H194&lt;$Z$51),AND(G194="Yes",H194&gt;$Z$51)),"Valid","Invalid"),""),IF(L194=3,IF(OR(AND(G194="1Fib",H194&lt;$Z$51),AND(G194="Yes",H194&lt;$Z$51),AND(G194="Yes",H194&gt;$Z$51),AND(G194="No",H194&lt;$Z$51)),"Valid","Invalid"),""))</f>
        <v>Valid</v>
      </c>
      <c r="L194" s="342">
        <v>2</v>
      </c>
      <c r="M194" s="249" t="str">
        <f>CONCATENATE(IF(N194=1,IF(OR(AND(G194="1Fib",H194&lt;$Z$51),AND(G194="Yes",H194&lt;$Z$51),AND(G194="No",H194&lt;$Z$51)),"Valid","Invalid"),""),IF(N194=2,IF(OR(AND(G194="1Fib",H194&lt;$Z$51),AND(G194="Yes",H194&lt;$Z$51),AND(G194="Yes",H194&gt;$Z$51)),"Valid","Invalid"),""),IF(N194=3,IF(OR(AND(G194="1Fib",H194&lt;$Z$51),AND(G194="Yes",H194&lt;$Z$51),AND(G194="Yes",H194&gt;$Z$51),AND(G194="No",H194&lt;$Z$51)),"Valid","Invalid"),""))</f>
        <v>Invalid</v>
      </c>
      <c r="N194" s="342">
        <v>1</v>
      </c>
      <c r="O194" s="249" t="str">
        <f>CONCATENATE(IF(P194=1,IF(OR(AND(G194="1Fib",H194&lt;$Z$51),AND(G194="Yes",H194&lt;$Z$51),AND(G194="No",H194&lt;$Z$51)),"Valid","Invalid"),""),IF(P194=2,IF(OR(AND(G194="1Fib",H194&lt;$Z$51),AND(G194="Yes",H194&lt;$Z$51),AND(G194="Yes",H194&gt;$Z$51)),"Valid","Invalid"),""),IF(P194=3,IF(OR(AND(G194="1Fib",H194&lt;$Z$51),AND(G194="Yes",H194&lt;$Z$51),AND(G194="Yes",H194&gt;$Z$51),AND(G194="No",H194&lt;$Z$51)),"Valid","Invalid"),""))</f>
        <v>Valid</v>
      </c>
      <c r="P194" s="342">
        <v>3</v>
      </c>
      <c r="Q194" s="250" t="s">
        <v>107</v>
      </c>
      <c r="R194" s="243">
        <f>IF(Z198="Y",I198,MAX(H201,H200,I198))</f>
        <v>0.58324496288440608</v>
      </c>
      <c r="S194" s="375"/>
      <c r="T194" s="376"/>
      <c r="U194" s="377"/>
      <c r="W194" s="3"/>
      <c r="Y194" s="2"/>
      <c r="Z194" s="95" t="s">
        <v>43</v>
      </c>
      <c r="AB194" s="95" t="s">
        <v>44</v>
      </c>
    </row>
    <row r="195" spans="1:30" ht="15.75" customHeight="1" thickBot="1" x14ac:dyDescent="0.3">
      <c r="A195" s="125" t="s">
        <v>13</v>
      </c>
      <c r="B195" s="324" t="s">
        <v>8</v>
      </c>
      <c r="C195" s="251">
        <f>IF(C183=0,"No Data",K183/(J174/100))</f>
        <v>48.676752800464179</v>
      </c>
      <c r="D195" s="252">
        <f>IF(D183=0,"No Data",L183/(J175/100))</f>
        <v>57.208834022807402</v>
      </c>
      <c r="E195" s="253">
        <f>IF(E183=0,"No Data",M183/(J176/100))</f>
        <v>62.862282706361285</v>
      </c>
      <c r="F195" s="252" t="str">
        <f>IF(F183=0,"No Data",N183/(J177/100))</f>
        <v>No Data</v>
      </c>
      <c r="G195" s="247" t="str">
        <f>IF(COUNT(O183:R183)=1,"1Fib",IF(COUNT(O183:R183)&lt;2,"No Data",IF(AND(S183&gt;K171,K171&gt;T183),"Yes","No")))</f>
        <v>No</v>
      </c>
      <c r="H195" s="270">
        <f>IF(COUNTBLANK(C183:F183)=4,"No Data",MIN(C195:F195))</f>
        <v>48.676752800464179</v>
      </c>
      <c r="I195" s="254">
        <f>MIN(C195:F197)</f>
        <v>16.921638619751853</v>
      </c>
      <c r="J195" s="2" t="s">
        <v>32</v>
      </c>
      <c r="K195" s="249" t="str">
        <f t="shared" ref="K195:K197" si="78">CONCATENATE(IF(L195=1,IF(OR(AND(G195="1Fib",H195&lt;$Z$51),AND(G195="Yes",H195&lt;$Z$51),AND(G195="No",H195&lt;$Z$51)),"Valid","Invalid"),""),IF(L195=2,IF(OR(AND(G195="1Fib",H195&lt;$Z$51),AND(G195="Yes",H195&lt;$Z$51),AND(G195="Yes",H195&gt;$Z$51)),"Valid","Invalid"),""),IF(L195=3,IF(OR(AND(G195="1Fib",H195&lt;$Z$51),AND(G195="Yes",H195&lt;$Z$51),AND(G195="Yes",H195&gt;$Z$51),AND(G195="No",H195&lt;$Z$51)),"Valid","Invalid"),""))</f>
        <v>Invalid</v>
      </c>
      <c r="L195" s="342">
        <v>3</v>
      </c>
      <c r="M195" s="249" t="str">
        <f t="shared" ref="M195:M197" si="79">CONCATENATE(IF(N195=1,IF(OR(AND(G195="1Fib",H195&lt;$Z$51),AND(G195="Yes",H195&lt;$Z$51),AND(G195="No",H195&lt;$Z$51)),"Valid","Invalid"),""),IF(N195=2,IF(OR(AND(G195="1Fib",H195&lt;$Z$51),AND(G195="Yes",H195&lt;$Z$51),AND(G195="Yes",H195&gt;$Z$51)),"Valid","Invalid"),""),IF(N195=3,IF(OR(AND(G195="1Fib",H195&lt;$Z$51),AND(G195="Yes",H195&lt;$Z$51),AND(G195="Yes",H195&gt;$Z$51),AND(G195="No",H195&lt;$Z$51)),"Valid","Invalid"),""))</f>
        <v>Invalid</v>
      </c>
      <c r="N195" s="342">
        <v>1</v>
      </c>
      <c r="O195" s="249" t="str">
        <f t="shared" ref="O195:O197" si="80">CONCATENATE(IF(P195=1,IF(OR(AND(G195="1Fib",H195&lt;$Z$51),AND(G195="Yes",H195&lt;$Z$51),AND(G195="No",H195&lt;$Z$51)),"Valid","Invalid"),""),IF(P195=2,IF(OR(AND(G195="1Fib",H195&lt;$Z$51),AND(G195="Yes",H195&lt;$Z$51),AND(G195="Yes",H195&gt;$Z$51)),"Valid","Invalid"),""),IF(P195=3,IF(OR(AND(G195="1Fib",H195&lt;$Z$51),AND(G195="Yes",H195&lt;$Z$51),AND(G195="Yes",H195&gt;$Z$51),AND(G195="No",H195&lt;$Z$51)),"Valid","Invalid"),""))</f>
        <v>Invalid</v>
      </c>
      <c r="P195" s="342">
        <v>3</v>
      </c>
      <c r="Q195" s="242" t="s">
        <v>108</v>
      </c>
      <c r="R195" s="243">
        <f>IF(Z198="Y",MAX(H195:H197),MAX(H193,H194,I195,I198,H200,H201))</f>
        <v>16.921638619751853</v>
      </c>
      <c r="S195" s="375"/>
      <c r="T195" s="376"/>
      <c r="U195" s="377"/>
      <c r="W195" s="3"/>
      <c r="Y195" s="255" t="s">
        <v>28</v>
      </c>
      <c r="Z195" s="256">
        <f>Z159</f>
        <v>8</v>
      </c>
      <c r="AA195" s="2" t="s">
        <v>15</v>
      </c>
      <c r="AB195" s="256">
        <f>AB159</f>
        <v>10</v>
      </c>
      <c r="AC195" s="2" t="s">
        <v>15</v>
      </c>
    </row>
    <row r="196" spans="1:30" ht="15.75" customHeight="1" thickBot="1" x14ac:dyDescent="0.3">
      <c r="A196" s="125" t="s">
        <v>14</v>
      </c>
      <c r="B196" s="324" t="s">
        <v>6</v>
      </c>
      <c r="C196" s="251">
        <f>IF(C184=0,"No Data",K184/(L174/100))</f>
        <v>51.586320560362616</v>
      </c>
      <c r="D196" s="252" t="str">
        <f>IF(D184=0,"No Data",L184/(L175/100))</f>
        <v>No Data</v>
      </c>
      <c r="E196" s="253" t="str">
        <f>IF(E184=0,"No Data",M184/(L176/100))</f>
        <v>No Data</v>
      </c>
      <c r="F196" s="252" t="str">
        <f>IF(F184=0,"No Data",N184/(L177/100))</f>
        <v>No Data</v>
      </c>
      <c r="G196" s="247" t="str">
        <f>IF(COUNT(O184:R184)=1,"1Fib",IF(COUNT(O184:R184)&lt;2,"No Data",IF(AND(S184&gt;K171,K171&gt;T184),"Yes","No")))</f>
        <v>1Fib</v>
      </c>
      <c r="H196" s="270">
        <f>IF(COUNTBLANK(C184:F184)=4,"No Data",MIN(C196:F196))</f>
        <v>51.586320560362616</v>
      </c>
      <c r="I196" s="257">
        <f>MAX(O183:R185)-MIN(O183:R185)</f>
        <v>0.58219800000000022</v>
      </c>
      <c r="J196" s="2" t="s">
        <v>40</v>
      </c>
      <c r="K196" s="249" t="str">
        <f t="shared" si="78"/>
        <v>Invalid</v>
      </c>
      <c r="L196" s="342">
        <v>1</v>
      </c>
      <c r="M196" s="249" t="str">
        <f t="shared" si="79"/>
        <v>Invalid</v>
      </c>
      <c r="N196" s="342">
        <v>1</v>
      </c>
      <c r="O196" s="249" t="str">
        <f t="shared" si="80"/>
        <v>Invalid</v>
      </c>
      <c r="P196" s="342">
        <v>3</v>
      </c>
      <c r="Q196" s="242" t="s">
        <v>54</v>
      </c>
      <c r="R196" s="258">
        <f>SUM(H193,H194,I195)/COUNT(H193,H194,I195)</f>
        <v>9.4563872947737639</v>
      </c>
      <c r="S196" s="375"/>
      <c r="T196" s="376"/>
      <c r="U196" s="377"/>
      <c r="W196" s="3"/>
      <c r="Y196" s="95"/>
      <c r="Z196" s="2"/>
      <c r="AA196" s="95"/>
      <c r="AB196" s="95"/>
      <c r="AC196" s="259"/>
    </row>
    <row r="197" spans="1:30" ht="15.75" customHeight="1" thickBot="1" x14ac:dyDescent="0.3">
      <c r="A197" s="125" t="s">
        <v>29</v>
      </c>
      <c r="B197" s="331" t="s">
        <v>7</v>
      </c>
      <c r="C197" s="260">
        <f>IF(C185=0,"No Data",K185/(N174/100))</f>
        <v>16.921638619751853</v>
      </c>
      <c r="D197" s="261">
        <f>IF(D185=0,"No Data",L185/(N175/100))</f>
        <v>34.687468680052135</v>
      </c>
      <c r="E197" s="262" t="str">
        <f>IF(E185=0,"No Data",M185/(N176/100))</f>
        <v>No Data</v>
      </c>
      <c r="F197" s="261" t="str">
        <f>IF(F185=0,"No Data",N185/(N177/100))</f>
        <v>No Data</v>
      </c>
      <c r="G197" s="263" t="str">
        <f>IF(COUNT(O185:R185)=1,"1Fib",IF(COUNT(O185:R185)&lt;2,"No Data",IF(AND(S185&gt;K171,K171&gt;T185),"Yes","No")))</f>
        <v>No</v>
      </c>
      <c r="H197" s="264">
        <f>IF(COUNTBLANK(C185:F185)=4,"No Data",MIN(C197:F197))</f>
        <v>16.921638619751853</v>
      </c>
      <c r="I197" s="265">
        <f>COUNT(C195:F197)</f>
        <v>6</v>
      </c>
      <c r="J197" s="2" t="s">
        <v>41</v>
      </c>
      <c r="K197" s="249" t="str">
        <f t="shared" si="78"/>
        <v>Invalid</v>
      </c>
      <c r="L197" s="342">
        <v>2</v>
      </c>
      <c r="M197" s="249" t="str">
        <f t="shared" si="79"/>
        <v>Invalid</v>
      </c>
      <c r="N197" s="342">
        <v>1</v>
      </c>
      <c r="O197" s="249" t="str">
        <f t="shared" si="80"/>
        <v>Invalid</v>
      </c>
      <c r="P197" s="342">
        <v>3</v>
      </c>
      <c r="Q197" s="250" t="s">
        <v>48</v>
      </c>
      <c r="R197" s="243">
        <f>SUM(I198,H200,H201)/COUNT(I198,H200,H201)</f>
        <v>0.34787191600108053</v>
      </c>
      <c r="S197" s="375"/>
      <c r="T197" s="376"/>
      <c r="U197" s="377"/>
      <c r="W197" s="3"/>
      <c r="Y197" s="2"/>
      <c r="Z197" s="95" t="s">
        <v>38</v>
      </c>
      <c r="AB197" s="95"/>
      <c r="AC197" s="310"/>
    </row>
    <row r="198" spans="1:30" ht="16.5" customHeight="1" thickTop="1" thickBot="1" x14ac:dyDescent="0.3">
      <c r="A198" s="12" t="s">
        <v>47</v>
      </c>
      <c r="B198" s="335" t="s">
        <v>6</v>
      </c>
      <c r="C198" s="268">
        <f>IF(C186=0,"No Data",K186/(G186/100))</f>
        <v>27.323656735421455</v>
      </c>
      <c r="D198" s="268">
        <f t="shared" ref="D198:D201" si="81">IF(D186=0,"No Data",L186/(H186/100))</f>
        <v>19.645848289064361</v>
      </c>
      <c r="E198" s="268" t="str">
        <f t="shared" ref="E198:E201" si="82">IF(E186=0,"No Data",M186/(I186/100))</f>
        <v>No Data</v>
      </c>
      <c r="F198" s="268" t="str">
        <f t="shared" ref="F198:F201" si="83">IF(F186=0,"No Data",N186/(J186/100))</f>
        <v>No Data</v>
      </c>
      <c r="G198" s="269"/>
      <c r="H198" s="270">
        <f>IF(COUNTIF(C186:F186,0)=4,"No Data",MIN(C198:F198))</f>
        <v>19.645848289064361</v>
      </c>
      <c r="I198" s="254">
        <f>MIN(C198:F199)</f>
        <v>0.58324496288440608</v>
      </c>
      <c r="K198" s="363">
        <f>COUNTIFS(G193:K197,"Valid")</f>
        <v>2</v>
      </c>
      <c r="M198" s="363">
        <f>COUNTIFS(M193:M197,"Valid")</f>
        <v>1</v>
      </c>
      <c r="O198" s="363">
        <f>COUNTIFS(O193:O197,"Valid")</f>
        <v>2</v>
      </c>
      <c r="Q198" s="250" t="s">
        <v>56</v>
      </c>
      <c r="R198" s="243">
        <f>SUM(H193,H194,I195,I198,H200,H201)/COUNT(H193,H194,I195,I198,H200,H201)</f>
        <v>4.9021296053874224</v>
      </c>
      <c r="S198" s="378"/>
      <c r="T198" s="379"/>
      <c r="U198" s="380"/>
      <c r="W198" s="3"/>
      <c r="Y198" s="255" t="s">
        <v>36</v>
      </c>
      <c r="Z198" s="256" t="s">
        <v>57</v>
      </c>
      <c r="AA198" s="255"/>
      <c r="AB198" s="256"/>
      <c r="AC198" s="272"/>
    </row>
    <row r="199" spans="1:30" ht="15.75" customHeight="1" thickBot="1" x14ac:dyDescent="0.3">
      <c r="A199" s="12" t="s">
        <v>47</v>
      </c>
      <c r="B199" s="340" t="s">
        <v>74</v>
      </c>
      <c r="C199" s="273">
        <f t="shared" ref="C199:C201" si="84">IF(C187=0,"No Data",K187/(G187/100))</f>
        <v>6.25</v>
      </c>
      <c r="D199" s="273">
        <f t="shared" si="81"/>
        <v>0.58324496288440608</v>
      </c>
      <c r="E199" s="273" t="str">
        <f t="shared" si="82"/>
        <v>No Data</v>
      </c>
      <c r="F199" s="273" t="str">
        <f t="shared" si="83"/>
        <v>No Data</v>
      </c>
      <c r="G199" s="269"/>
      <c r="H199" s="235">
        <f>IF(COUNTIF(C187:F187,0)=4,"No Data",MIN(C199:F199))</f>
        <v>0.58324496288440608</v>
      </c>
      <c r="I199" s="235"/>
      <c r="K199" s="439" t="s">
        <v>116</v>
      </c>
      <c r="L199" s="439"/>
      <c r="M199" s="439"/>
      <c r="N199" s="439"/>
      <c r="O199" s="439"/>
      <c r="P199" s="439"/>
      <c r="Q199" s="274"/>
      <c r="R199" s="397" t="str">
        <f>CONCATENATE(IF(Y173="Y",Z173,""),IF(Y174="Y",Z174,""),IF(Y175="Y",Z175,""),IF(Y176="Y",Z176,""),IF(Y177="Y",Z177,""),IF(Y178="Y",Z178,""),IF(Y179="Y",Z179,""),IF(Y180="Y",Z180,""),IF(Y181="Y",Z181,""),IF(Y182="Y",Z182,""),IF(Y183="Y",Z183,""),IF(Y184="Y",Z184,""),IF(Y185="Y",Z185,""),IF(Y186="Y",Z186,""),IF(Y187="Y",Z187,""))</f>
        <v xml:space="preserve">[Weak Structure: More than 8 % Price deviation][Structure Violation: D below X] </v>
      </c>
      <c r="S199" s="398"/>
      <c r="T199" s="398"/>
      <c r="U199" s="399"/>
      <c r="W199" s="3"/>
      <c r="Y199" s="2"/>
      <c r="Z199" s="2"/>
      <c r="AC199" s="259"/>
    </row>
    <row r="200" spans="1:30" ht="15.75" thickBot="1" x14ac:dyDescent="0.3">
      <c r="A200" s="12" t="s">
        <v>46</v>
      </c>
      <c r="B200" s="139" t="s">
        <v>6</v>
      </c>
      <c r="C200" s="273">
        <f t="shared" si="84"/>
        <v>9.8750171679714249</v>
      </c>
      <c r="D200" s="273">
        <f t="shared" si="81"/>
        <v>0.46037078511883545</v>
      </c>
      <c r="E200" s="273" t="str">
        <f t="shared" si="82"/>
        <v>No Data</v>
      </c>
      <c r="F200" s="273" t="str">
        <f t="shared" si="83"/>
        <v>No Data</v>
      </c>
      <c r="G200" s="275"/>
      <c r="H200" s="235">
        <f>IF(COUNTIF(C188:F188,0)=4,"No Data",MIN(C200:F200))</f>
        <v>0.46037078511883545</v>
      </c>
      <c r="I200" s="235"/>
      <c r="K200" s="440" t="s">
        <v>126</v>
      </c>
      <c r="L200" s="440"/>
      <c r="M200" s="440"/>
      <c r="N200" s="440"/>
      <c r="O200" s="440"/>
      <c r="P200" s="440"/>
      <c r="Q200" s="276" t="s">
        <v>34</v>
      </c>
      <c r="R200" s="400"/>
      <c r="S200" s="401"/>
      <c r="T200" s="401"/>
      <c r="U200" s="402"/>
      <c r="W200" s="3"/>
      <c r="Y200" s="2"/>
      <c r="Z200" s="2"/>
      <c r="AC200" s="259"/>
    </row>
    <row r="201" spans="1:30" ht="15.75" thickBot="1" x14ac:dyDescent="0.3">
      <c r="A201" s="12" t="s">
        <v>66</v>
      </c>
      <c r="B201" s="354" t="s">
        <v>6</v>
      </c>
      <c r="C201" s="277" t="str">
        <f t="shared" si="84"/>
        <v>No Data</v>
      </c>
      <c r="D201" s="277" t="str">
        <f t="shared" si="81"/>
        <v>No Data</v>
      </c>
      <c r="E201" s="277" t="str">
        <f t="shared" si="82"/>
        <v>No Data</v>
      </c>
      <c r="F201" s="277" t="str">
        <f t="shared" si="83"/>
        <v>No Data</v>
      </c>
      <c r="G201" s="278"/>
      <c r="H201" s="235">
        <f>IF(COUNTIF(C189:F189,0)=4,"No Data",MIN(C201:F201))</f>
        <v>0</v>
      </c>
      <c r="I201" s="235"/>
      <c r="K201" s="440" t="s">
        <v>127</v>
      </c>
      <c r="L201" s="440"/>
      <c r="M201" s="440"/>
      <c r="N201" s="440"/>
      <c r="O201" s="440"/>
      <c r="P201" s="440"/>
      <c r="Q201" s="250"/>
      <c r="R201" s="403"/>
      <c r="S201" s="404"/>
      <c r="T201" s="404"/>
      <c r="U201" s="405"/>
      <c r="W201" s="3"/>
      <c r="Y201" s="2"/>
      <c r="Z201" s="256"/>
      <c r="AA201" s="255"/>
      <c r="AB201" s="256"/>
      <c r="AC201" s="259"/>
    </row>
    <row r="202" spans="1:30" x14ac:dyDescent="0.25">
      <c r="I202" s="279"/>
      <c r="J202" s="281"/>
      <c r="K202" s="283"/>
      <c r="L202" s="283"/>
      <c r="M202" s="284"/>
      <c r="N202" s="285"/>
      <c r="O202" s="283"/>
      <c r="P202" s="283"/>
      <c r="W202" s="3"/>
    </row>
    <row r="203" spans="1:30" s="292" customFormat="1" ht="27.75" customHeight="1" x14ac:dyDescent="0.25">
      <c r="A203" s="3"/>
      <c r="B203" s="3"/>
      <c r="C203" s="3"/>
      <c r="D203" s="289"/>
      <c r="E203" s="290"/>
      <c r="F203" s="290"/>
      <c r="G203" s="290"/>
      <c r="M203" s="290"/>
      <c r="N203" s="290"/>
      <c r="O203" s="3"/>
      <c r="P203" s="293"/>
      <c r="Q203" s="294"/>
      <c r="R203" s="295"/>
      <c r="S203" s="295"/>
      <c r="T203" s="3"/>
      <c r="W203" s="3"/>
      <c r="Y203" s="296"/>
      <c r="Z203" s="297"/>
    </row>
    <row r="204" spans="1:30" ht="15.75" thickBot="1" x14ac:dyDescent="0.3">
      <c r="A204" s="78"/>
      <c r="B204" s="78"/>
      <c r="C204" s="78"/>
      <c r="D204" s="298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78"/>
      <c r="P204" s="78"/>
      <c r="Q204" s="78"/>
      <c r="R204" s="78"/>
      <c r="S204" s="78"/>
      <c r="W204" s="3"/>
    </row>
    <row r="205" spans="1:30" s="89" customFormat="1" ht="15.75" customHeight="1" thickBot="1" x14ac:dyDescent="0.3">
      <c r="A205" s="82"/>
      <c r="B205" s="299" t="s">
        <v>95</v>
      </c>
      <c r="C205" s="425">
        <f>C169</f>
        <v>0</v>
      </c>
      <c r="D205" s="426"/>
      <c r="E205" s="425">
        <f>E169</f>
        <v>9</v>
      </c>
      <c r="F205" s="426"/>
      <c r="G205" s="425">
        <f>G169</f>
        <v>16</v>
      </c>
      <c r="H205" s="426"/>
      <c r="I205" s="425">
        <f>I169</f>
        <v>23</v>
      </c>
      <c r="J205" s="426"/>
      <c r="K205" s="425">
        <f>K169</f>
        <v>30</v>
      </c>
      <c r="L205" s="426"/>
      <c r="M205" s="425">
        <f>M169</f>
        <v>33</v>
      </c>
      <c r="N205" s="426"/>
      <c r="O205" s="395"/>
      <c r="P205" s="395"/>
      <c r="Q205" s="395"/>
      <c r="R205" s="395"/>
      <c r="S205" s="395"/>
      <c r="T205" s="395"/>
      <c r="U205" s="395"/>
      <c r="V205" s="395"/>
      <c r="W205" s="3"/>
      <c r="Y205" s="4"/>
      <c r="Z205" s="5"/>
    </row>
    <row r="206" spans="1:30" ht="34.5" thickBot="1" x14ac:dyDescent="0.3">
      <c r="A206" s="300" t="s">
        <v>25</v>
      </c>
      <c r="B206" s="360">
        <v>5</v>
      </c>
      <c r="C206" s="421" t="s">
        <v>5</v>
      </c>
      <c r="D206" s="422"/>
      <c r="E206" s="421" t="s">
        <v>1</v>
      </c>
      <c r="F206" s="422"/>
      <c r="G206" s="421" t="s">
        <v>2</v>
      </c>
      <c r="H206" s="422"/>
      <c r="I206" s="421" t="s">
        <v>3</v>
      </c>
      <c r="J206" s="422"/>
      <c r="K206" s="421" t="s">
        <v>4</v>
      </c>
      <c r="L206" s="422"/>
      <c r="M206" s="421" t="s">
        <v>93</v>
      </c>
      <c r="N206" s="422"/>
      <c r="O206" s="396"/>
      <c r="P206" s="396"/>
      <c r="Q206" s="396"/>
      <c r="R206" s="396"/>
      <c r="S206" s="396"/>
      <c r="T206" s="396"/>
      <c r="U206" s="396"/>
      <c r="V206" s="396"/>
      <c r="W206" s="3"/>
      <c r="X206" s="302" t="str">
        <f>A206</f>
        <v>Shark</v>
      </c>
      <c r="Y206" s="361"/>
      <c r="Z206" s="362"/>
    </row>
    <row r="207" spans="1:30" ht="16.5" customHeight="1" thickBot="1" x14ac:dyDescent="0.3">
      <c r="A207" s="90"/>
      <c r="B207" s="91" t="s">
        <v>96</v>
      </c>
      <c r="C207" s="447">
        <f>C171</f>
        <v>1.8</v>
      </c>
      <c r="D207" s="448"/>
      <c r="E207" s="447">
        <f>E171</f>
        <v>1.2</v>
      </c>
      <c r="F207" s="448"/>
      <c r="G207" s="447">
        <f>G171</f>
        <v>1.57</v>
      </c>
      <c r="H207" s="448"/>
      <c r="I207" s="447">
        <f>I171</f>
        <v>1.2789999999999999</v>
      </c>
      <c r="J207" s="448"/>
      <c r="K207" s="447">
        <f>K171</f>
        <v>1.67</v>
      </c>
      <c r="L207" s="448"/>
      <c r="M207" s="447">
        <f>M171</f>
        <v>0</v>
      </c>
      <c r="N207" s="448"/>
      <c r="O207" s="394"/>
      <c r="P207" s="394"/>
      <c r="Q207" s="394"/>
      <c r="R207" s="394"/>
      <c r="S207" s="394"/>
      <c r="T207" s="394"/>
      <c r="U207" s="394"/>
      <c r="V207" s="394"/>
      <c r="W207" s="3"/>
    </row>
    <row r="208" spans="1:30" ht="34.5" thickBot="1" x14ac:dyDescent="0.3">
      <c r="A208" s="92"/>
      <c r="B208" s="92"/>
      <c r="C208" s="93" t="s">
        <v>16</v>
      </c>
      <c r="D208" s="430" t="s">
        <v>6</v>
      </c>
      <c r="E208" s="431"/>
      <c r="F208" s="430" t="s">
        <v>7</v>
      </c>
      <c r="G208" s="431"/>
      <c r="H208" s="430" t="s">
        <v>8</v>
      </c>
      <c r="I208" s="431"/>
      <c r="J208" s="430" t="s">
        <v>9</v>
      </c>
      <c r="K208" s="431"/>
      <c r="L208" s="449" t="s">
        <v>30</v>
      </c>
      <c r="M208" s="393"/>
      <c r="N208" s="449" t="s">
        <v>31</v>
      </c>
      <c r="O208" s="393"/>
      <c r="P208" s="304"/>
      <c r="Q208" s="78"/>
      <c r="R208" s="78"/>
      <c r="W208" s="3"/>
      <c r="Y208" s="305" t="s">
        <v>36</v>
      </c>
      <c r="Z208" s="230" t="s">
        <v>71</v>
      </c>
      <c r="AA208" s="306" t="s">
        <v>80</v>
      </c>
      <c r="AB208" s="307"/>
      <c r="AC208" s="307"/>
      <c r="AD208" s="308"/>
    </row>
    <row r="209" spans="1:30" ht="15.75" thickBot="1" x14ac:dyDescent="0.3">
      <c r="A209" s="441"/>
      <c r="B209" s="442"/>
      <c r="C209" s="93" t="s">
        <v>33</v>
      </c>
      <c r="D209" s="423">
        <f>IF(C207&lt;E207,E207-C207,C207-E207)</f>
        <v>0.60000000000000009</v>
      </c>
      <c r="E209" s="424"/>
      <c r="F209" s="423">
        <f>IF(G207&lt;E207,E207-G207,G207-E207)</f>
        <v>0.37000000000000011</v>
      </c>
      <c r="G209" s="424"/>
      <c r="H209" s="423">
        <f>IF(I207&lt;G207,G207-I207,I207-G207)</f>
        <v>0.29100000000000015</v>
      </c>
      <c r="I209" s="424"/>
      <c r="J209" s="423">
        <f>IF(K207&lt;I207,I207-K207,K207-I207)</f>
        <v>0.39100000000000001</v>
      </c>
      <c r="K209" s="424"/>
      <c r="L209" s="423">
        <f>IF(C207&lt;E207,E207-C207,C207-E207)</f>
        <v>0.60000000000000009</v>
      </c>
      <c r="M209" s="424"/>
      <c r="N209" s="423">
        <f>IF(E207&lt;G207,G207-E207,E207-G207)</f>
        <v>0.37000000000000011</v>
      </c>
      <c r="O209" s="424"/>
      <c r="P209" s="78"/>
      <c r="Q209" s="76"/>
      <c r="R209" s="76"/>
      <c r="W209" s="3"/>
      <c r="X209" s="2">
        <v>1</v>
      </c>
      <c r="Y209" s="311" t="s">
        <v>70</v>
      </c>
      <c r="Z209" s="312" t="str">
        <f>IF(R229&gt;Z231,CONCATENATE("[Weak Structure: More than ",Z231," % Price deviation]"),"")</f>
        <v>[Weak Structure: More than 8 % Price deviation]</v>
      </c>
      <c r="AA209" s="381" t="s">
        <v>72</v>
      </c>
      <c r="AB209" s="382"/>
      <c r="AC209" s="382"/>
      <c r="AD209" s="383"/>
    </row>
    <row r="210" spans="1:30" ht="15.75" thickBot="1" x14ac:dyDescent="0.3">
      <c r="A210" s="443"/>
      <c r="B210" s="444"/>
      <c r="C210" s="93" t="s">
        <v>18</v>
      </c>
      <c r="D210" s="437" t="s">
        <v>17</v>
      </c>
      <c r="E210" s="438"/>
      <c r="F210" s="437">
        <f>IF(C217&gt;0,(D209*C217),"No Data")</f>
        <v>0.22920000000000004</v>
      </c>
      <c r="G210" s="438"/>
      <c r="H210" s="437">
        <f>IF(C218&gt;0,(F209*C218),"No Data")</f>
        <v>0.41736000000000006</v>
      </c>
      <c r="I210" s="438"/>
      <c r="J210" s="437">
        <f>IF(C219&gt;0,(H209*C219),"No Data")</f>
        <v>0.47083800000000026</v>
      </c>
      <c r="K210" s="438"/>
      <c r="L210" s="437">
        <f>IF(C220&gt;0,(L209*C220),"No Data")</f>
        <v>0.53160000000000007</v>
      </c>
      <c r="M210" s="438"/>
      <c r="N210" s="437">
        <f>IF(C221&gt;0,(N209*C221),"No Data")</f>
        <v>0.47064000000000017</v>
      </c>
      <c r="O210" s="438"/>
      <c r="P210" s="314"/>
      <c r="Q210" s="76"/>
      <c r="R210" s="76"/>
      <c r="W210" s="3"/>
      <c r="X210" s="2">
        <v>2</v>
      </c>
      <c r="Y210" s="311" t="s">
        <v>70</v>
      </c>
      <c r="Z210" s="312" t="str">
        <f>IF(R230&gt;AB231,CONCATENATE("[Weak Structure: More than ",AB231," % Time deviation]"),"")</f>
        <v/>
      </c>
      <c r="AA210" s="381" t="s">
        <v>73</v>
      </c>
      <c r="AB210" s="382"/>
      <c r="AC210" s="382"/>
      <c r="AD210" s="383"/>
    </row>
    <row r="211" spans="1:30" ht="15.75" thickBot="1" x14ac:dyDescent="0.3">
      <c r="A211" s="443"/>
      <c r="B211" s="444"/>
      <c r="C211" s="93" t="s">
        <v>19</v>
      </c>
      <c r="D211" s="437" t="s">
        <v>17</v>
      </c>
      <c r="E211" s="438"/>
      <c r="F211" s="437">
        <f>IF(D217&gt;0,(D209*D217),"No Data")</f>
        <v>0.37080000000000007</v>
      </c>
      <c r="G211" s="438"/>
      <c r="H211" s="437">
        <f>IF(D218&gt;0,(F209*D218),"No Data")</f>
        <v>0.59866000000000019</v>
      </c>
      <c r="I211" s="438"/>
      <c r="J211" s="437">
        <f>IF(D219&gt;0,(H209*D219),"No Data")</f>
        <v>0.65067600000000037</v>
      </c>
      <c r="K211" s="438"/>
      <c r="L211" s="437" t="str">
        <f>IF(D220&gt;0,(L209*D220),"No Data")</f>
        <v>No Data</v>
      </c>
      <c r="M211" s="438"/>
      <c r="N211" s="437">
        <f>IF(D221&gt;0,(N209*D221),"No Data")</f>
        <v>0.59866000000000019</v>
      </c>
      <c r="O211" s="438"/>
      <c r="P211" s="314"/>
      <c r="Q211" s="76"/>
      <c r="R211" s="76"/>
      <c r="W211" s="3"/>
      <c r="X211" s="2">
        <v>3</v>
      </c>
      <c r="Y211" s="311"/>
      <c r="Z211" s="315"/>
      <c r="AA211" s="381"/>
      <c r="AB211" s="382"/>
      <c r="AC211" s="382"/>
      <c r="AD211" s="383"/>
    </row>
    <row r="212" spans="1:30" ht="15.75" thickBot="1" x14ac:dyDescent="0.3">
      <c r="A212" s="443"/>
      <c r="B212" s="444"/>
      <c r="C212" s="93" t="s">
        <v>20</v>
      </c>
      <c r="D212" s="437" t="s">
        <v>17</v>
      </c>
      <c r="E212" s="438"/>
      <c r="F212" s="437" t="str">
        <f>IF(E217&gt;0,(D209*E217),"No Data")</f>
        <v>No Data</v>
      </c>
      <c r="G212" s="438"/>
      <c r="H212" s="437" t="str">
        <f>IF(E218&gt;0,(F209*E218),"No Data")</f>
        <v>No Data</v>
      </c>
      <c r="I212" s="438"/>
      <c r="J212" s="437" t="str">
        <f>IF(E219&gt;0,(H209*E219),"No Data")</f>
        <v>No Data</v>
      </c>
      <c r="K212" s="438"/>
      <c r="L212" s="437" t="str">
        <f>IF(E220&gt;0,(L209*E220),"No Data")</f>
        <v>No Data</v>
      </c>
      <c r="M212" s="438"/>
      <c r="N212" s="437">
        <f>IF(E221&gt;0,(N209*E221),"No Data")</f>
        <v>0.82732000000000028</v>
      </c>
      <c r="O212" s="438"/>
      <c r="P212" s="314"/>
      <c r="Q212" s="76"/>
      <c r="R212" s="76"/>
      <c r="W212" s="3"/>
      <c r="X212" s="2">
        <v>4</v>
      </c>
      <c r="Y212" s="311"/>
      <c r="Z212" s="317"/>
      <c r="AA212" s="381"/>
      <c r="AB212" s="382"/>
      <c r="AC212" s="382"/>
      <c r="AD212" s="383"/>
    </row>
    <row r="213" spans="1:30" ht="15.75" thickBot="1" x14ac:dyDescent="0.3">
      <c r="A213" s="445"/>
      <c r="B213" s="446"/>
      <c r="C213" s="93" t="s">
        <v>21</v>
      </c>
      <c r="D213" s="437" t="s">
        <v>17</v>
      </c>
      <c r="E213" s="438"/>
      <c r="F213" s="437" t="str">
        <f>IF(F217&gt;0,(D209*F217),"No Data")</f>
        <v>No Data</v>
      </c>
      <c r="G213" s="438"/>
      <c r="H213" s="437" t="str">
        <f>IF(F218&gt;0,(F209*F218),"No Data")</f>
        <v>No Data</v>
      </c>
      <c r="I213" s="438"/>
      <c r="J213" s="437" t="str">
        <f>IF(F219&gt;0,(H209*F219),"No Data")</f>
        <v>No Data</v>
      </c>
      <c r="K213" s="438"/>
      <c r="L213" s="437" t="str">
        <f>IF(F220&gt;0,(L209*F220),"No Data")</f>
        <v>No Data</v>
      </c>
      <c r="M213" s="438"/>
      <c r="N213" s="437" t="str">
        <f>IF(F221&gt;0,(N209*F221),"No Data")</f>
        <v>No Data</v>
      </c>
      <c r="O213" s="438"/>
      <c r="P213" s="314"/>
      <c r="Q213" s="76"/>
      <c r="R213" s="76"/>
      <c r="W213" s="3"/>
      <c r="X213" s="2">
        <v>5</v>
      </c>
      <c r="Y213" s="311" t="s">
        <v>70</v>
      </c>
      <c r="Z213" s="312" t="str">
        <f>IF(C207&gt;E207,IF(AND(C207&gt;E207,E207&lt;G207,G207&gt;I207,I207&lt;K207),"","[No Structure found] "),IF(AND(C207&lt;E207,E207&gt;G207,G207&lt;I207,I207&gt;K207),"","[No Structure found] "))</f>
        <v/>
      </c>
      <c r="AA213" s="381" t="s">
        <v>81</v>
      </c>
      <c r="AB213" s="382"/>
      <c r="AC213" s="382"/>
      <c r="AD213" s="383"/>
    </row>
    <row r="214" spans="1:30" ht="19.5" thickBot="1" x14ac:dyDescent="0.3">
      <c r="A214" s="432" t="str">
        <f>CONCATENATE(IF(C207&gt;E207,"Bearish",""),(IF(C207&lt;E207,"Bullish","")))</f>
        <v>Bearish</v>
      </c>
      <c r="B214" s="433"/>
      <c r="N214" s="114"/>
      <c r="W214" s="3"/>
      <c r="X214" s="2">
        <v>6</v>
      </c>
      <c r="Y214" s="311" t="s">
        <v>70</v>
      </c>
      <c r="Z214" s="312" t="str">
        <f>CONCATENATE(IF(AND(C207&gt;E207,K207&gt;C207),"[Structure Violation: D passed X] ",""),IF(AND(C207&lt;E207,K207&lt;C207),"[Structure Violation: D passed X] ",""))</f>
        <v/>
      </c>
      <c r="AA214" s="381" t="s">
        <v>83</v>
      </c>
      <c r="AB214" s="382"/>
      <c r="AC214" s="382"/>
      <c r="AD214" s="383"/>
    </row>
    <row r="215" spans="1:30" ht="15.75" thickBot="1" x14ac:dyDescent="0.3">
      <c r="C215" s="418" t="s">
        <v>50</v>
      </c>
      <c r="D215" s="419"/>
      <c r="E215" s="419"/>
      <c r="F215" s="420"/>
      <c r="G215" s="427" t="s">
        <v>49</v>
      </c>
      <c r="H215" s="428"/>
      <c r="I215" s="428"/>
      <c r="J215" s="429"/>
      <c r="K215" s="427" t="s">
        <v>52</v>
      </c>
      <c r="L215" s="428"/>
      <c r="M215" s="428"/>
      <c r="N215" s="428"/>
      <c r="O215" s="427" t="s">
        <v>67</v>
      </c>
      <c r="P215" s="428"/>
      <c r="Q215" s="428"/>
      <c r="R215" s="429"/>
      <c r="S215" s="384" t="s">
        <v>65</v>
      </c>
      <c r="T215" s="385"/>
      <c r="W215" s="3"/>
      <c r="X215" s="2">
        <v>7</v>
      </c>
      <c r="Y215" s="311" t="s">
        <v>57</v>
      </c>
      <c r="Z215" s="318" t="str">
        <f>CONCATENATE(IF(AND(C207&gt;E207,I207&lt;E207),"[Structure Violation: C passed A] ",""),IF(AND(C207&lt;E207,I207&gt;E207),"[Structure Violation: C passed A] ",""))</f>
        <v/>
      </c>
      <c r="AA215" s="381" t="s">
        <v>84</v>
      </c>
      <c r="AB215" s="382"/>
      <c r="AC215" s="382"/>
      <c r="AD215" s="383"/>
    </row>
    <row r="216" spans="1:30" ht="15.75" thickBot="1" x14ac:dyDescent="0.3">
      <c r="A216" s="115" t="s">
        <v>10</v>
      </c>
      <c r="B216" s="116" t="s">
        <v>51</v>
      </c>
      <c r="C216" s="319">
        <v>1</v>
      </c>
      <c r="D216" s="319">
        <v>2</v>
      </c>
      <c r="E216" s="319">
        <v>3</v>
      </c>
      <c r="F216" s="319">
        <v>4</v>
      </c>
      <c r="G216" s="118">
        <v>1</v>
      </c>
      <c r="H216" s="118">
        <v>2</v>
      </c>
      <c r="I216" s="118">
        <v>3</v>
      </c>
      <c r="J216" s="118">
        <v>4</v>
      </c>
      <c r="K216" s="119">
        <v>1</v>
      </c>
      <c r="L216" s="119">
        <v>2</v>
      </c>
      <c r="M216" s="119">
        <v>3</v>
      </c>
      <c r="N216" s="120">
        <v>4</v>
      </c>
      <c r="O216" s="118">
        <v>1</v>
      </c>
      <c r="P216" s="119">
        <v>2</v>
      </c>
      <c r="Q216" s="118">
        <v>3</v>
      </c>
      <c r="R216" s="119">
        <v>4</v>
      </c>
      <c r="S216" s="121" t="s">
        <v>63</v>
      </c>
      <c r="T216" s="122" t="s">
        <v>64</v>
      </c>
      <c r="W216" s="3"/>
      <c r="X216" s="2">
        <v>8</v>
      </c>
      <c r="Y216" s="311" t="s">
        <v>70</v>
      </c>
      <c r="Z216" s="312" t="str">
        <f>CONCATENATE(IF(AND(C207&gt;E207,G207&gt;C207),"[Structure Violaton: B passed X] ",""),IF(AND(C207&lt;E207,G207&lt;C207),"[Structure Violation: B passed X] ",""))</f>
        <v/>
      </c>
      <c r="AA216" s="381" t="s">
        <v>85</v>
      </c>
      <c r="AB216" s="382"/>
      <c r="AC216" s="382"/>
      <c r="AD216" s="383"/>
    </row>
    <row r="217" spans="1:30" ht="15.75" thickBot="1" x14ac:dyDescent="0.3">
      <c r="A217" s="125" t="s">
        <v>11</v>
      </c>
      <c r="B217" s="320" t="s">
        <v>6</v>
      </c>
      <c r="C217" s="321">
        <v>0.38200000000000001</v>
      </c>
      <c r="D217" s="322">
        <v>0.61799999999999999</v>
      </c>
      <c r="E217" s="322"/>
      <c r="F217" s="323"/>
      <c r="G217" s="130">
        <f>IF(C207&gt;E207,IF(C217&gt;0,E207+(D209*C217),0),IF(C217&gt;0,E207-(D209*C217),0))</f>
        <v>1.4292</v>
      </c>
      <c r="H217" s="131">
        <f>IF(C207&gt;E207,IF(D217&gt;0,E207+(D209*D217),0),IF(D217&gt;0,E207-(D209*D217),0))</f>
        <v>1.5708</v>
      </c>
      <c r="I217" s="131">
        <f>IF(C207&gt;E207,IF(E217&gt;0,E207+(D209*E217),0),IF(E217&gt;0,E207-(D209*E217),0))</f>
        <v>0</v>
      </c>
      <c r="J217" s="131">
        <f>IF(C207&gt;E207,IF(F217&gt;0,E207+(D209*F217),0),IF(F217&gt;0,E207-(D209*F217),0))</f>
        <v>0</v>
      </c>
      <c r="K217" s="133">
        <f>IF(C217&gt;0,IF(G217&lt;G207,G207-G217,G217-G207),0)</f>
        <v>0.14080000000000004</v>
      </c>
      <c r="L217" s="134">
        <f>IF(D217&gt;0,IF(H217&lt;G207,G207-H217,H217-G207),0)</f>
        <v>7.9999999999991189E-4</v>
      </c>
      <c r="M217" s="134">
        <f>IF(E217&gt;0,IF(I217&lt;G207,G207-I217,I217-G207),0)</f>
        <v>0</v>
      </c>
      <c r="N217" s="135">
        <f>IF(F217&gt;0,IF(J217&lt;G207,G207-J217,J217-G207),0)</f>
        <v>0</v>
      </c>
      <c r="O217" s="130">
        <f t="shared" ref="O217:O219" si="85">IF(C217=0,"No Data",G217)</f>
        <v>1.4292</v>
      </c>
      <c r="P217" s="131">
        <f t="shared" ref="P217:P219" si="86">IF(D217=0,"No Data",H217)</f>
        <v>1.5708</v>
      </c>
      <c r="Q217" s="131" t="str">
        <f t="shared" ref="Q217:Q225" si="87">IF(E217=0,"No Data",I217)</f>
        <v>No Data</v>
      </c>
      <c r="R217" s="132" t="str">
        <f t="shared" ref="R217:R219" si="88">IF(F217=0,"No Data",J217)</f>
        <v>No Data</v>
      </c>
      <c r="S217" s="136">
        <f t="shared" ref="S217:S221" si="89">MAX(O217:R217)</f>
        <v>1.5708</v>
      </c>
      <c r="T217" s="137">
        <f t="shared" ref="T217:T218" si="90">MIN(O217:R217)</f>
        <v>1.4292</v>
      </c>
      <c r="W217" s="3"/>
      <c r="X217" s="2">
        <v>9</v>
      </c>
      <c r="Y217" s="311" t="s">
        <v>70</v>
      </c>
      <c r="Z217" s="312" t="str">
        <f>CONCATENATE(IF(AND(C207&gt;E207,I207&gt;E207),"[Structure Violation: C above A] ",""),IF(AND(C207&lt;E207,I207&lt;E207),"[Structure Violation: C below A] ",""))</f>
        <v xml:space="preserve">[Structure Violation: C above A] </v>
      </c>
      <c r="AA217" s="381" t="s">
        <v>86</v>
      </c>
      <c r="AB217" s="382"/>
      <c r="AC217" s="382"/>
      <c r="AD217" s="383"/>
    </row>
    <row r="218" spans="1:30" ht="15.75" thickBot="1" x14ac:dyDescent="0.3">
      <c r="A218" s="125" t="s">
        <v>12</v>
      </c>
      <c r="B218" s="324" t="s">
        <v>7</v>
      </c>
      <c r="C218" s="325">
        <v>1.1279999999999999</v>
      </c>
      <c r="D218" s="326">
        <v>1.6180000000000001</v>
      </c>
      <c r="E218" s="326"/>
      <c r="F218" s="327"/>
      <c r="G218" s="143">
        <f>IF(C207&gt;E207,IF(C218&gt;0,G207-(F209*C218),0),IF(C218&gt;0,G207+(F209*C218),0))</f>
        <v>1.1526399999999999</v>
      </c>
      <c r="H218" s="144">
        <f>IF(C207&gt;E207,IF(D218&gt;0,G207-(F209*D218),0),IF(D218&gt;0,G207+(F209*D218),0))</f>
        <v>0.97133999999999987</v>
      </c>
      <c r="I218" s="144">
        <f>IF(C207&gt;E207,IF(E218&gt;0,G207-(F209*E218),0),IF(E218&gt;0,G207+(F209*E218),0))</f>
        <v>0</v>
      </c>
      <c r="J218" s="328">
        <f>IF(C207&gt;E207,IF(F218&gt;0,G207-(F209*F218),0),IF(F218&gt;0,G207+(F209*F218),0))</f>
        <v>0</v>
      </c>
      <c r="K218" s="146">
        <f>IF(C218&gt;0,IF(G218&lt;I207,I207-G218,G218-I207),0)</f>
        <v>0.12636000000000003</v>
      </c>
      <c r="L218" s="147">
        <f>IF(D218&gt;0,IF(H218&lt;I207,I207-H218,H218-I207),0)</f>
        <v>0.30766000000000004</v>
      </c>
      <c r="M218" s="147">
        <f>IF(E218&gt;0,IF(I218&lt;I207,I207-I218,I218-I207),0)</f>
        <v>0</v>
      </c>
      <c r="N218" s="148">
        <f>IF(F218&gt;0,IF(J218&lt;I207,I207-J218,J218-I207),0)</f>
        <v>0</v>
      </c>
      <c r="O218" s="143">
        <f t="shared" si="85"/>
        <v>1.1526399999999999</v>
      </c>
      <c r="P218" s="144">
        <f t="shared" si="86"/>
        <v>0.97133999999999987</v>
      </c>
      <c r="Q218" s="144" t="str">
        <f t="shared" si="87"/>
        <v>No Data</v>
      </c>
      <c r="R218" s="145" t="str">
        <f t="shared" si="88"/>
        <v>No Data</v>
      </c>
      <c r="S218" s="149">
        <f t="shared" si="89"/>
        <v>1.1526399999999999</v>
      </c>
      <c r="T218" s="150">
        <f t="shared" si="90"/>
        <v>0.97133999999999987</v>
      </c>
      <c r="W218" s="3"/>
      <c r="X218" s="2">
        <v>10</v>
      </c>
      <c r="Y218" s="311" t="s">
        <v>57</v>
      </c>
      <c r="Z218" s="318" t="str">
        <f>CONCATENATE(IF(AND(C207&gt;E207,G207&gt;K207),"[Structure Violation: B above D] ",""),IF(AND(C207&lt;E207,G207&lt;K207),"[Structure Violation: B below D] ",""))</f>
        <v/>
      </c>
      <c r="AA218" s="381" t="s">
        <v>87</v>
      </c>
      <c r="AB218" s="382"/>
      <c r="AC218" s="382"/>
      <c r="AD218" s="383"/>
    </row>
    <row r="219" spans="1:30" ht="15.75" thickBot="1" x14ac:dyDescent="0.3">
      <c r="A219" s="125" t="s">
        <v>13</v>
      </c>
      <c r="B219" s="324" t="s">
        <v>8</v>
      </c>
      <c r="C219" s="325">
        <v>1.6180000000000001</v>
      </c>
      <c r="D219" s="326">
        <v>2.2360000000000002</v>
      </c>
      <c r="E219" s="326"/>
      <c r="F219" s="327"/>
      <c r="G219" s="143">
        <f>IF(C207&gt;E207,IF(C219&gt;0,I207+(H209*C219),0),IF(C219&gt;0,I207-(H209*C219),0))</f>
        <v>1.7498380000000002</v>
      </c>
      <c r="H219" s="144">
        <f>IF(C207&gt;E207,IF(D219&gt;0,I207+(H209*D219),0),IF(D219&gt;0,I207-(H209*D219),0))</f>
        <v>1.9296760000000002</v>
      </c>
      <c r="I219" s="144">
        <f>IF(C207&gt;E207,IF(E219&gt;0,I207+(H209*E219),0),IF(E219&gt;0,I207-(H209*E219),0))</f>
        <v>0</v>
      </c>
      <c r="J219" s="328">
        <f>IF(C207&gt;E207,IF(F219&gt;0,I207+(H209*F219),0),IF(F219&gt;0,I207-(H209*F219),0))</f>
        <v>0</v>
      </c>
      <c r="K219" s="146">
        <f>IF(C219&gt;0,IF(G219&lt;K207,K207-G219,G219-K207),0)</f>
        <v>7.9838000000000298E-2</v>
      </c>
      <c r="L219" s="147">
        <f>IF(D219&gt;0,IF(H219&lt;K207,K207-H219,H219-K207),0)</f>
        <v>0.25967600000000024</v>
      </c>
      <c r="M219" s="147">
        <f>IF(E219&gt;0,IF(I219&lt;K207,K207-I219,I219-K207),0)</f>
        <v>0</v>
      </c>
      <c r="N219" s="148">
        <f>IF(F219&gt;0,IF(J219&lt;K207,K207-J219,J219-K207),0)</f>
        <v>0</v>
      </c>
      <c r="O219" s="143">
        <f t="shared" si="85"/>
        <v>1.7498380000000002</v>
      </c>
      <c r="P219" s="144">
        <f t="shared" si="86"/>
        <v>1.9296760000000002</v>
      </c>
      <c r="Q219" s="144" t="str">
        <f t="shared" si="87"/>
        <v>No Data</v>
      </c>
      <c r="R219" s="145" t="str">
        <f t="shared" si="88"/>
        <v>No Data</v>
      </c>
      <c r="S219" s="151">
        <f t="shared" si="89"/>
        <v>1.9296760000000002</v>
      </c>
      <c r="T219" s="150">
        <f>MIN(O219:R219)</f>
        <v>1.7498380000000002</v>
      </c>
      <c r="W219" s="3"/>
      <c r="X219" s="2">
        <v>11</v>
      </c>
      <c r="Y219" s="311" t="s">
        <v>57</v>
      </c>
      <c r="Z219" s="312" t="str">
        <f>CONCATENATE(IF(AND(C207&gt;E207,K207&lt;C207),"[Structure Violation: D below X] ",""),IF(AND(C207&lt;E207,K207&gt;C207),"[Structure Violation: D above X] ",""))</f>
        <v xml:space="preserve">[Structure Violation: D below X] </v>
      </c>
      <c r="AA219" s="381" t="s">
        <v>88</v>
      </c>
      <c r="AB219" s="382"/>
      <c r="AC219" s="382"/>
      <c r="AD219" s="383"/>
    </row>
    <row r="220" spans="1:30" ht="15.75" thickBot="1" x14ac:dyDescent="0.3">
      <c r="A220" s="125" t="s">
        <v>14</v>
      </c>
      <c r="B220" s="324" t="s">
        <v>6</v>
      </c>
      <c r="C220" s="325">
        <v>0.88600000000000001</v>
      </c>
      <c r="D220" s="326"/>
      <c r="E220" s="326"/>
      <c r="F220" s="327"/>
      <c r="G220" s="152">
        <f>IF(C207&gt;E207,IF(C220&gt;0,E207+(D209*C220),0),IF(C220&gt;0,E207-(D209*C220),0))</f>
        <v>1.7316</v>
      </c>
      <c r="H220" s="144">
        <f>IF(C207&gt;E207,IF(D220&gt;0,E207+(D209*D220),0),IF(D220&gt;0,E207-(D209*D220),0))</f>
        <v>0</v>
      </c>
      <c r="I220" s="144">
        <f>IF(C207&gt;E207,IF(E220&gt;0,E207+(D209*E220),0),IF(E220&gt;0,E207-(D209*E220),0))</f>
        <v>0</v>
      </c>
      <c r="J220" s="329">
        <f>IF(C207&gt;E207,IF(F220&gt;0,E207+(D209*F220),0),IF(F220&gt;0,E207-(D209*F220),0))</f>
        <v>0</v>
      </c>
      <c r="K220" s="146">
        <f>IF(C220&gt;0,IF(G220&lt;K207,K207-G220,G220-K207),0)</f>
        <v>6.1600000000000099E-2</v>
      </c>
      <c r="L220" s="147">
        <f>IF(D220&gt;0,IF(H220&lt;K207,K207-H220,H220-K207),0)</f>
        <v>0</v>
      </c>
      <c r="M220" s="147">
        <f>IF(E220&gt;0,IF(I220&lt;K207,K207-I220,I220-K207),0)</f>
        <v>0</v>
      </c>
      <c r="N220" s="148">
        <f>IF(F220&gt;0,IF(J220&lt;K207,K207-J220,J220-K207),0)</f>
        <v>0</v>
      </c>
      <c r="O220" s="152">
        <f>IF(C220=0,"No Data",G220)</f>
        <v>1.7316</v>
      </c>
      <c r="P220" s="144" t="str">
        <f>IF(D220=0,"No Data",H220)</f>
        <v>No Data</v>
      </c>
      <c r="Q220" s="144" t="str">
        <f t="shared" si="87"/>
        <v>No Data</v>
      </c>
      <c r="R220" s="153" t="str">
        <f>IF(F220=0,"No Data",J220)</f>
        <v>No Data</v>
      </c>
      <c r="S220" s="149">
        <f t="shared" si="89"/>
        <v>1.7316</v>
      </c>
      <c r="T220" s="150">
        <f t="shared" ref="T220:T221" si="91">MIN(O220:R220)</f>
        <v>1.7316</v>
      </c>
      <c r="W220" s="3"/>
      <c r="X220" s="2">
        <v>12</v>
      </c>
      <c r="Y220" s="311" t="s">
        <v>57</v>
      </c>
      <c r="Z220" s="312" t="str">
        <f>CONCATENATE(IF(AND(C207&gt;E207,K207&gt;G207),"[Structure Violation: D passed B] ",""),IF(AND(C207&lt;E207,K207&lt;G207),"[Structure Violation: D passed B] ",""))</f>
        <v xml:space="preserve">[Structure Violation: D passed B] </v>
      </c>
      <c r="AA220" s="381" t="s">
        <v>89</v>
      </c>
      <c r="AB220" s="382"/>
      <c r="AC220" s="382"/>
      <c r="AD220" s="383"/>
    </row>
    <row r="221" spans="1:30" ht="15.75" thickBot="1" x14ac:dyDescent="0.3">
      <c r="A221" s="125" t="s">
        <v>29</v>
      </c>
      <c r="B221" s="331" t="s">
        <v>7</v>
      </c>
      <c r="C221" s="332">
        <v>1.272</v>
      </c>
      <c r="D221" s="333">
        <v>1.6180000000000001</v>
      </c>
      <c r="E221" s="364">
        <v>2.2360000000000002</v>
      </c>
      <c r="F221" s="334"/>
      <c r="G221" s="159">
        <f>IF(C207&gt;E207,IF(C221&gt;0,I207+(F209*C221),0),IF(C221&gt;0,I207-(F209*C221),0))</f>
        <v>1.7496400000000001</v>
      </c>
      <c r="H221" s="160">
        <f>IF(C207&gt;E207,IF(D221&gt;0,I207+(F209*D221),0),IF(D221&gt;0,I207-(F209*D221),0))</f>
        <v>1.8776600000000001</v>
      </c>
      <c r="I221" s="160">
        <f>IF(C207&gt;E207,IF(E221&gt;0,I207+(F209*E221),0),IF(E221&gt;0,I207-(F209*E221),0))</f>
        <v>2.1063200000000002</v>
      </c>
      <c r="J221" s="160">
        <f>IF(C207&gt;E207,IF(F221&gt;0,I207+(F209*F221),0),IF(F221&gt;0,I207-(F209*F221),0))</f>
        <v>0</v>
      </c>
      <c r="K221" s="162">
        <f>IF(C221&gt;0,IF(G221&lt;K207,K207-G221,G221-K207),0)</f>
        <v>7.9640000000000155E-2</v>
      </c>
      <c r="L221" s="163">
        <f>IF(D221&gt;0,IF(H221&lt;K207,K207-H221,H221-K207),0)</f>
        <v>0.20766000000000018</v>
      </c>
      <c r="M221" s="163">
        <f>IF(E221&gt;0,IF(I221&lt;K207,K207-I221,I221-K207),0)</f>
        <v>0.43632000000000026</v>
      </c>
      <c r="N221" s="164">
        <f>IF(F221&gt;0,IF(J221&lt;K207,K207-J221,J221-K207),0)</f>
        <v>0</v>
      </c>
      <c r="O221" s="159">
        <f t="shared" ref="O221" si="92">IF(C221=0,"No Data",G221)</f>
        <v>1.7496400000000001</v>
      </c>
      <c r="P221" s="160">
        <f t="shared" ref="P221" si="93">IF(D221=0,"No Data",H221)</f>
        <v>1.8776600000000001</v>
      </c>
      <c r="Q221" s="160">
        <f t="shared" si="87"/>
        <v>2.1063200000000002</v>
      </c>
      <c r="R221" s="161" t="str">
        <f t="shared" ref="R221:R225" si="94">IF(F221=0,"No Data",J221)</f>
        <v>No Data</v>
      </c>
      <c r="S221" s="165">
        <f t="shared" si="89"/>
        <v>2.1063200000000002</v>
      </c>
      <c r="T221" s="166">
        <f t="shared" si="91"/>
        <v>1.7496400000000001</v>
      </c>
      <c r="W221" s="3"/>
      <c r="X221" s="2">
        <v>13</v>
      </c>
      <c r="Y221" s="311" t="s">
        <v>57</v>
      </c>
      <c r="Z221" s="312" t="str">
        <f>CONCATENATE(IF(AND(C207&gt;E207,G207&lt;C207),"[Structure Violation: B below X] ",""),IF(AND(C207&lt;E207,G207&gt;C207),"[Structure Violation: B above X] ",""))</f>
        <v xml:space="preserve">[Structure Violation: B below X] </v>
      </c>
      <c r="AA221" s="381" t="s">
        <v>90</v>
      </c>
      <c r="AB221" s="382"/>
      <c r="AC221" s="382"/>
      <c r="AD221" s="383"/>
    </row>
    <row r="222" spans="1:30" ht="16.5" thickTop="1" thickBot="1" x14ac:dyDescent="0.3">
      <c r="A222" s="12" t="s">
        <v>47</v>
      </c>
      <c r="B222" s="335" t="s">
        <v>6</v>
      </c>
      <c r="C222" s="336">
        <v>2</v>
      </c>
      <c r="D222" s="337">
        <v>2.6179999999999999</v>
      </c>
      <c r="E222" s="337">
        <v>2.786</v>
      </c>
      <c r="F222" s="338"/>
      <c r="G222" s="339">
        <f>E205*C222</f>
        <v>18</v>
      </c>
      <c r="H222" s="174">
        <f>E205*D222</f>
        <v>23.561999999999998</v>
      </c>
      <c r="I222" s="175">
        <f>E205*E222</f>
        <v>25.074000000000002</v>
      </c>
      <c r="J222" s="176">
        <f>E205*F222</f>
        <v>0</v>
      </c>
      <c r="K222" s="177">
        <f>IF(C222=0,0,IF(K205&gt;G222,K205-G222,G222-K205))</f>
        <v>12</v>
      </c>
      <c r="L222" s="178">
        <f>IF(D222=0,0,IF(K205&gt;H222,K205-H222,H222-K205))</f>
        <v>6.4380000000000024</v>
      </c>
      <c r="M222" s="178">
        <f>IF(E222=0,0,IF(K205&gt;I222,K205-I222,I222-K205))</f>
        <v>4.9259999999999984</v>
      </c>
      <c r="N222" s="179">
        <f>IF(F222=0,0,IF(K205&gt;J222,K205-J222,J222-K205))</f>
        <v>0</v>
      </c>
      <c r="O222" s="339">
        <f>IF(C222=0,"No Data",G222)</f>
        <v>18</v>
      </c>
      <c r="P222" s="174">
        <f>IF(D222=0,"No Data",H222)</f>
        <v>23.561999999999998</v>
      </c>
      <c r="Q222" s="175">
        <f t="shared" si="87"/>
        <v>25.074000000000002</v>
      </c>
      <c r="R222" s="176" t="str">
        <f t="shared" si="94"/>
        <v>No Data</v>
      </c>
      <c r="S222" s="180"/>
      <c r="T222" s="181"/>
      <c r="W222" s="3"/>
      <c r="X222" s="2">
        <v>14</v>
      </c>
      <c r="Y222" s="311" t="s">
        <v>57</v>
      </c>
      <c r="Z222" s="312" t="str">
        <f>CONCATENATE(IF(AND(E207&gt;G207,M207&gt;I207),"[Structure Violation: E passed C] ",""),IF(AND(E207&lt;G207,M207&lt;I207),"[Structure Violation: E passed C] ",""))</f>
        <v xml:space="preserve">[Structure Violation: E passed C] </v>
      </c>
      <c r="AA222" s="381" t="s">
        <v>94</v>
      </c>
      <c r="AB222" s="382"/>
      <c r="AC222" s="382"/>
      <c r="AD222" s="383"/>
    </row>
    <row r="223" spans="1:30" ht="15.75" thickBot="1" x14ac:dyDescent="0.3">
      <c r="A223" s="12" t="s">
        <v>47</v>
      </c>
      <c r="B223" s="340" t="s">
        <v>74</v>
      </c>
      <c r="C223" s="341">
        <v>2</v>
      </c>
      <c r="D223" s="342"/>
      <c r="E223" s="342"/>
      <c r="F223" s="351"/>
      <c r="G223" s="191">
        <f>G205*C223</f>
        <v>32</v>
      </c>
      <c r="H223" s="186">
        <f>G205*D223</f>
        <v>0</v>
      </c>
      <c r="I223" s="186">
        <f>G205*E223</f>
        <v>0</v>
      </c>
      <c r="J223" s="344">
        <f>G205*F223</f>
        <v>0</v>
      </c>
      <c r="K223" s="345">
        <f>IF(C223=0,0,IF(K205&gt;G223,K205-G223,G223-K205))</f>
        <v>2</v>
      </c>
      <c r="L223" s="189">
        <f>IF(D223=0,0,IF(K205&gt;H223,K205-H223,H223-K205))</f>
        <v>0</v>
      </c>
      <c r="M223" s="189">
        <f>IF(E223=0,0,IF(K205&gt;I223,K205-I223,I223-K205))</f>
        <v>0</v>
      </c>
      <c r="N223" s="178">
        <f>IF(F223=0,0,IF(K205&gt;J223,K205-J223,J223-K205))</f>
        <v>0</v>
      </c>
      <c r="O223" s="191">
        <f>IF(C223=0,"No Data",G223)</f>
        <v>32</v>
      </c>
      <c r="P223" s="186" t="str">
        <f t="shared" ref="P223:P225" si="95">IF(D223=0,"No Data",H223)</f>
        <v>No Data</v>
      </c>
      <c r="Q223" s="186" t="str">
        <f t="shared" si="87"/>
        <v>No Data</v>
      </c>
      <c r="R223" s="344" t="str">
        <f t="shared" si="94"/>
        <v>No Data</v>
      </c>
      <c r="S223" s="195"/>
      <c r="T223" s="196"/>
      <c r="W223" s="3"/>
      <c r="X223" s="2">
        <v>15</v>
      </c>
      <c r="Y223" s="311" t="s">
        <v>57</v>
      </c>
      <c r="Z223" s="317"/>
      <c r="AA223" s="346"/>
      <c r="AB223" s="347"/>
      <c r="AC223" s="347"/>
      <c r="AD223" s="348"/>
    </row>
    <row r="224" spans="1:30" ht="15.75" thickBot="1" x14ac:dyDescent="0.3">
      <c r="A224" s="12" t="s">
        <v>46</v>
      </c>
      <c r="B224" s="324" t="s">
        <v>6</v>
      </c>
      <c r="C224" s="349">
        <v>1</v>
      </c>
      <c r="D224" s="350">
        <v>1.6180000000000001</v>
      </c>
      <c r="E224" s="350">
        <v>1.786</v>
      </c>
      <c r="F224" s="343"/>
      <c r="G224" s="201">
        <f>E205*C224</f>
        <v>9</v>
      </c>
      <c r="H224" s="202">
        <f>E205*D224</f>
        <v>14.562000000000001</v>
      </c>
      <c r="I224" s="202">
        <f>E205*E224</f>
        <v>16.074000000000002</v>
      </c>
      <c r="J224" s="203">
        <f>E205*F224</f>
        <v>0</v>
      </c>
      <c r="K224" s="204">
        <f>IF(C224=0,0,IF(G205&gt;G224,G205-G224,G224-G205))</f>
        <v>7</v>
      </c>
      <c r="L224" s="205">
        <f>IF(D224=0,0,IF(G205&gt;H224,G205-H224,H224-G205))</f>
        <v>1.4379999999999988</v>
      </c>
      <c r="M224" s="205">
        <f>IF(E224=0,0,IF(G205&gt;I224,G205-I224,I224-G205))</f>
        <v>7.400000000000162E-2</v>
      </c>
      <c r="N224" s="206">
        <f>IF(F224=0,0,IF(G205&gt;J224,G205-J224,J224-G205))</f>
        <v>0</v>
      </c>
      <c r="O224" s="201">
        <f t="shared" ref="O224:O225" si="96">IF(C224=0,"No Data",G224)</f>
        <v>9</v>
      </c>
      <c r="P224" s="202">
        <f t="shared" si="95"/>
        <v>14.562000000000001</v>
      </c>
      <c r="Q224" s="202">
        <f t="shared" si="87"/>
        <v>16.074000000000002</v>
      </c>
      <c r="R224" s="203" t="str">
        <f t="shared" si="94"/>
        <v>No Data</v>
      </c>
      <c r="S224" s="207"/>
      <c r="T224" s="208"/>
      <c r="W224" s="3"/>
    </row>
    <row r="225" spans="1:29" ht="15.75" thickBot="1" x14ac:dyDescent="0.3">
      <c r="A225" s="12" t="s">
        <v>66</v>
      </c>
      <c r="B225" s="354" t="s">
        <v>6</v>
      </c>
      <c r="C225" s="355"/>
      <c r="D225" s="356"/>
      <c r="E225" s="356"/>
      <c r="F225" s="357"/>
      <c r="G225" s="213">
        <f>E205*C225</f>
        <v>0</v>
      </c>
      <c r="H225" s="214">
        <f>E205*D225</f>
        <v>0</v>
      </c>
      <c r="I225" s="214">
        <f>E205*E225</f>
        <v>0</v>
      </c>
      <c r="J225" s="215">
        <f>E205*F225</f>
        <v>0</v>
      </c>
      <c r="K225" s="216">
        <f>IF(C225=0,0,IF(I205&gt;G225,I205-G225,G225-I205))</f>
        <v>0</v>
      </c>
      <c r="L225" s="217">
        <f>IF(D225=0,0,IF(I205&gt;H225,I205-H225,H225-I205))</f>
        <v>0</v>
      </c>
      <c r="M225" s="217">
        <f>IF(E225=0,0,IF(I205&gt;I225,I205-I225,I225-I205))</f>
        <v>0</v>
      </c>
      <c r="N225" s="218">
        <f>IF(F225=0,0,IF(I205&gt;J225,I205-J225,J225-I205))</f>
        <v>0</v>
      </c>
      <c r="O225" s="213" t="str">
        <f t="shared" si="96"/>
        <v>No Data</v>
      </c>
      <c r="P225" s="214" t="str">
        <f t="shared" si="95"/>
        <v>No Data</v>
      </c>
      <c r="Q225" s="214" t="str">
        <f t="shared" si="87"/>
        <v>No Data</v>
      </c>
      <c r="R225" s="215" t="str">
        <f t="shared" si="94"/>
        <v>No Data</v>
      </c>
      <c r="S225" s="219"/>
      <c r="T225" s="220"/>
      <c r="W225" s="3"/>
    </row>
    <row r="226" spans="1:29" ht="15.75" thickBot="1" x14ac:dyDescent="0.3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226"/>
      <c r="W226" s="3"/>
    </row>
    <row r="227" spans="1:29" ht="15.75" thickBot="1" x14ac:dyDescent="0.3">
      <c r="A227" s="76"/>
      <c r="C227" s="365" t="s">
        <v>53</v>
      </c>
      <c r="D227" s="366"/>
      <c r="E227" s="366"/>
      <c r="F227" s="367"/>
      <c r="G227" s="365" t="s">
        <v>68</v>
      </c>
      <c r="H227" s="366"/>
      <c r="I227" s="367"/>
      <c r="K227" s="223"/>
      <c r="L227" s="224"/>
      <c r="M227" s="224"/>
      <c r="N227" s="224"/>
      <c r="O227" s="224"/>
      <c r="P227" s="225"/>
      <c r="Q227" s="226"/>
      <c r="R227" s="226"/>
      <c r="S227" s="227"/>
      <c r="T227" s="226"/>
      <c r="U227" s="76"/>
      <c r="W227" s="3"/>
    </row>
    <row r="228" spans="1:29" ht="15.75" thickBot="1" x14ac:dyDescent="0.3">
      <c r="A228" s="115" t="s">
        <v>10</v>
      </c>
      <c r="B228" s="116" t="s">
        <v>51</v>
      </c>
      <c r="C228" s="228">
        <v>1</v>
      </c>
      <c r="D228" s="228">
        <v>2</v>
      </c>
      <c r="E228" s="228">
        <v>3</v>
      </c>
      <c r="F228" s="228">
        <v>4</v>
      </c>
      <c r="G228" s="229" t="s">
        <v>69</v>
      </c>
      <c r="H228" s="230" t="s">
        <v>35</v>
      </c>
      <c r="I228" s="230" t="s">
        <v>55</v>
      </c>
      <c r="K228" s="452" t="s">
        <v>134</v>
      </c>
      <c r="L228" s="453"/>
      <c r="M228" s="452" t="s">
        <v>135</v>
      </c>
      <c r="N228" s="453"/>
      <c r="O228" s="452" t="s">
        <v>136</v>
      </c>
      <c r="P228" s="453"/>
      <c r="W228" s="3"/>
    </row>
    <row r="229" spans="1:29" ht="15.75" customHeight="1" thickBot="1" x14ac:dyDescent="0.3">
      <c r="A229" s="125" t="s">
        <v>11</v>
      </c>
      <c r="B229" s="320" t="s">
        <v>6</v>
      </c>
      <c r="C229" s="231">
        <f>IF(C217=0,"No Data",K217/(F210/100))</f>
        <v>61.431064572425825</v>
      </c>
      <c r="D229" s="232">
        <f>IF(D217=0,"No Data",L217/(F211/100))</f>
        <v>0.2157497303128133</v>
      </c>
      <c r="E229" s="233" t="str">
        <f>IF(E217=0,"No Data",M217/(F212/100))</f>
        <v>No Data</v>
      </c>
      <c r="F229" s="232" t="str">
        <f>IF(F217=0,"No Data",N217/(F213/100))</f>
        <v>No Data</v>
      </c>
      <c r="G229" s="234" t="str">
        <f>IF(COUNT(O217:R217)=1,"1Fib",IF(COUNT(O217:R217)&lt;2,"No Data",IF(AND(S217&gt;G207,G207&gt;T217),"Yes","No")))</f>
        <v>Yes</v>
      </c>
      <c r="H229" s="235">
        <f>IF(COUNTBLANK(C217:F217)=4,"No Data",MIN(C229:F229))</f>
        <v>0.2157497303128133</v>
      </c>
      <c r="I229" s="236"/>
      <c r="K229" s="238" t="str">
        <f>CONCATENATE(IF(L229=1,IF(OR(AND(G229="1Fib",H229&lt;$Z$51),AND(G229="Yes",H229&lt;$Z$51),AND(G229="No",H229&lt;$Z$51)),"Valid","Invalid"),""),IF(L229=2,IF(OR(AND(G229="1Fib",H229&lt;$Z$51),AND(G229="Yes",H229&lt;$Z$51),AND(G229="Yes",H229&gt;$Z$51)),"Valid","Invalid"),""),IF(L229=3,IF(OR(AND(G229="1Fib",H229&lt;$Z$51),AND(G229="Yes",H229&lt;$Z$51),AND(G229="Yes",H229&gt;$Z$51),AND(G229="No",H229&lt;$Z$51)),"Valid","Invalid"),""))</f>
        <v>Valid</v>
      </c>
      <c r="L229" s="342">
        <v>3</v>
      </c>
      <c r="M229" s="238" t="str">
        <f>CONCATENATE(IF(N229=1,IF(OR(AND(G229="1Fib",H229&lt;$Z$51),AND(G229="Yes",H229&lt;$Z$51),AND(G229="No",H229&lt;$Z$51)),"Valid","Invalid"),""),IF(N229=2,IF(OR(AND(G229="1Fib",H229&lt;$Z$51),AND(G229="Yes",H229&lt;$Z$51),AND(G229="Yes",H229&gt;$Z$51)),"Valid","Invalid"),""),IF(N229=3,IF(OR(AND(G229="1Fib",H229&lt;$Z$51),AND(G229="Yes",H229&lt;$Z$51),AND(G229="Yes",H229&gt;$Z$51),AND(G229="No",H229&lt;$Z$51)),"Valid","Invalid"),""))</f>
        <v>Valid</v>
      </c>
      <c r="N229" s="342">
        <v>1</v>
      </c>
      <c r="O229" s="238" t="str">
        <f>CONCATENATE(IF(P229=1,IF(OR(AND(G229="1Fib",H229&lt;$Z$51),AND(G229="Yes",H229&lt;$Z$51),AND(G229="No",H229&lt;$Z$51)),"Valid","Invalid"),""),IF(P229=2,IF(OR(AND(G229="1Fib",H229&lt;$Z$51),AND(G229="Yes",H229&lt;$Z$51),AND(G229="Yes",H229&gt;$Z$51)),"Valid","Invalid"),""),IF(P229=3,IF(OR(AND(G229="1Fib",H229&lt;$Z$51),AND(G229="Yes",H229&lt;$Z$51),AND(G229="Yes",H229&gt;$Z$51),AND(G229="No",H229&lt;$Z$51)),"Valid","Invalid"),""))</f>
        <v>Valid</v>
      </c>
      <c r="P229" s="342">
        <v>3</v>
      </c>
      <c r="Q229" s="242" t="s">
        <v>106</v>
      </c>
      <c r="R229" s="243">
        <f>IF(Z234="Y",I231,MAX(H229, H230, I231))</f>
        <v>30.276020701552621</v>
      </c>
      <c r="S229" s="372" t="str">
        <f>IF(R235="","Structure approved","Structure fault!")</f>
        <v>Structure fault!</v>
      </c>
      <c r="T229" s="373"/>
      <c r="U229" s="374"/>
      <c r="W229" s="3"/>
      <c r="Y229" s="226"/>
      <c r="Z229" s="418" t="s">
        <v>45</v>
      </c>
      <c r="AA229" s="419"/>
      <c r="AB229" s="420"/>
      <c r="AC229" s="226"/>
    </row>
    <row r="230" spans="1:29" ht="15.75" customHeight="1" thickBot="1" x14ac:dyDescent="0.3">
      <c r="A230" s="125" t="s">
        <v>12</v>
      </c>
      <c r="B230" s="324" t="s">
        <v>7</v>
      </c>
      <c r="C230" s="244">
        <f>IF(C218=0,"No Data",K218/(H210/100))</f>
        <v>30.276020701552621</v>
      </c>
      <c r="D230" s="245">
        <f>IF(D218=0,"No Data",L218/(H211/100))</f>
        <v>51.391440884642364</v>
      </c>
      <c r="E230" s="246" t="str">
        <f>IF(E218=0,"No Data",M218/(H212/100))</f>
        <v>No Data</v>
      </c>
      <c r="F230" s="245" t="str">
        <f>IF(F218=0,"No Data",N218/(H213/100))</f>
        <v>No Data</v>
      </c>
      <c r="G230" s="247" t="str">
        <f>IF(COUNT(O218:R218)=1,"1Fib",IF(COUNT(O218:R218)&lt;2,"No Data",IF(AND(S218&gt;I207,I207&gt;T218),"Yes","No")))</f>
        <v>No</v>
      </c>
      <c r="H230" s="270">
        <f>IF(COUNTBLANK(C218:F218)=4,"No Data",MIN(C230:F230))</f>
        <v>30.276020701552621</v>
      </c>
      <c r="I230" s="248"/>
      <c r="K230" s="249" t="str">
        <f>CONCATENATE(IF(L230=1,IF(OR(AND(G230="1Fib",H230&lt;$Z$51),AND(G230="Yes",H230&lt;$Z$51),AND(G230="No",H230&lt;$Z$51)),"Valid","Invalid"),""),IF(L230=2,IF(OR(AND(G230="1Fib",H230&lt;$Z$51),AND(G230="Yes",H230&lt;$Z$51),AND(G230="Yes",H230&gt;$Z$51)),"Valid","Invalid"),""),IF(L230=3,IF(OR(AND(G230="1Fib",H230&lt;$Z$51),AND(G230="Yes",H230&lt;$Z$51),AND(G230="Yes",H230&gt;$Z$51),AND(G230="No",H230&lt;$Z$51)),"Valid","Invalid"),""))</f>
        <v>Invalid</v>
      </c>
      <c r="L230" s="342">
        <v>1</v>
      </c>
      <c r="M230" s="249" t="str">
        <f>CONCATENATE(IF(N230=1,IF(OR(AND(G230="1Fib",H230&lt;$Z$51),AND(G230="Yes",H230&lt;$Z$51),AND(G230="No",H230&lt;$Z$51)),"Valid","Invalid"),""),IF(N230=2,IF(OR(AND(G230="1Fib",H230&lt;$Z$51),AND(G230="Yes",H230&lt;$Z$51),AND(G230="Yes",H230&gt;$Z$51)),"Valid","Invalid"),""),IF(N230=3,IF(OR(AND(G230="1Fib",H230&lt;$Z$51),AND(G230="Yes",H230&lt;$Z$51),AND(G230="Yes",H230&gt;$Z$51),AND(G230="No",H230&lt;$Z$51)),"Valid","Invalid"),""))</f>
        <v>Invalid</v>
      </c>
      <c r="N230" s="342">
        <v>1</v>
      </c>
      <c r="O230" s="249" t="str">
        <f>CONCATENATE(IF(P230=1,IF(OR(AND(G230="1Fib",H230&lt;$Z$51),AND(G230="Yes",H230&lt;$Z$51),AND(G230="No",H230&lt;$Z$51)),"Valid","Invalid"),""),IF(P230=2,IF(OR(AND(G230="1Fib",H230&lt;$Z$51),AND(G230="Yes",H230&lt;$Z$51),AND(G230="Yes",H230&gt;$Z$51)),"Valid","Invalid"),""),IF(P230=3,IF(OR(AND(G230="1Fib",H230&lt;$Z$51),AND(G230="Yes",H230&lt;$Z$51),AND(G230="Yes",H230&gt;$Z$51),AND(G230="No",H230&lt;$Z$51)),"Valid","Invalid"),""))</f>
        <v>Invalid</v>
      </c>
      <c r="P230" s="342">
        <v>3</v>
      </c>
      <c r="Q230" s="250" t="s">
        <v>107</v>
      </c>
      <c r="R230" s="243">
        <f>IF(Z234="Y",I234,MAX(H237,H236,I234))</f>
        <v>6.25</v>
      </c>
      <c r="S230" s="375"/>
      <c r="T230" s="376"/>
      <c r="U230" s="377"/>
      <c r="W230" s="3"/>
      <c r="Y230" s="2"/>
      <c r="Z230" s="95" t="s">
        <v>43</v>
      </c>
      <c r="AB230" s="95" t="s">
        <v>44</v>
      </c>
    </row>
    <row r="231" spans="1:29" ht="15.75" customHeight="1" thickBot="1" x14ac:dyDescent="0.3">
      <c r="A231" s="125" t="s">
        <v>13</v>
      </c>
      <c r="B231" s="324" t="s">
        <v>8</v>
      </c>
      <c r="C231" s="251">
        <f>IF(C219=0,"No Data",K219/(J210/100))</f>
        <v>16.95657529766082</v>
      </c>
      <c r="D231" s="252">
        <f>IF(D219=0,"No Data",L219/(J211/100))</f>
        <v>39.90864885134846</v>
      </c>
      <c r="E231" s="253" t="str">
        <f>IF(E219=0,"No Data",M219/(J212/100))</f>
        <v>No Data</v>
      </c>
      <c r="F231" s="252" t="str">
        <f>IF(F219=0,"No Data",N219/(J213/100))</f>
        <v>No Data</v>
      </c>
      <c r="G231" s="247" t="str">
        <f>IF(COUNT(O219:R219)=1,"1Fib",IF(COUNT(O219:R219)&lt;2,"No Data",IF(AND(S219&gt;K207,K207&gt;T219),"Yes","No")))</f>
        <v>No</v>
      </c>
      <c r="H231" s="270">
        <f>IF(COUNTBLANK(C219:F219)=4,"No Data",MIN(C231:F231))</f>
        <v>16.95657529766082</v>
      </c>
      <c r="I231" s="254">
        <f>MIN(C231:F233)</f>
        <v>11.587659894657655</v>
      </c>
      <c r="J231" s="2" t="s">
        <v>32</v>
      </c>
      <c r="K231" s="249" t="str">
        <f t="shared" ref="K231:K233" si="97">CONCATENATE(IF(L231=1,IF(OR(AND(G231="1Fib",H231&lt;$Z$51),AND(G231="Yes",H231&lt;$Z$51),AND(G231="No",H231&lt;$Z$51)),"Valid","Invalid"),""),IF(L231=2,IF(OR(AND(G231="1Fib",H231&lt;$Z$51),AND(G231="Yes",H231&lt;$Z$51),AND(G231="Yes",H231&gt;$Z$51)),"Valid","Invalid"),""),IF(L231=3,IF(OR(AND(G231="1Fib",H231&lt;$Z$51),AND(G231="Yes",H231&lt;$Z$51),AND(G231="Yes",H231&gt;$Z$51),AND(G231="No",H231&lt;$Z$51)),"Valid","Invalid"),""))</f>
        <v>Invalid</v>
      </c>
      <c r="L231" s="342">
        <v>2</v>
      </c>
      <c r="M231" s="249" t="str">
        <f t="shared" ref="M231:M233" si="98">CONCATENATE(IF(N231=1,IF(OR(AND(G231="1Fib",H231&lt;$Z$51),AND(G231="Yes",H231&lt;$Z$51),AND(G231="No",H231&lt;$Z$51)),"Valid","Invalid"),""),IF(N231=2,IF(OR(AND(G231="1Fib",H231&lt;$Z$51),AND(G231="Yes",H231&lt;$Z$51),AND(G231="Yes",H231&gt;$Z$51)),"Valid","Invalid"),""),IF(N231=3,IF(OR(AND(G231="1Fib",H231&lt;$Z$51),AND(G231="Yes",H231&lt;$Z$51),AND(G231="Yes",H231&gt;$Z$51),AND(G231="No",H231&lt;$Z$51)),"Valid","Invalid"),""))</f>
        <v>Invalid</v>
      </c>
      <c r="N231" s="342">
        <v>1</v>
      </c>
      <c r="O231" s="249" t="str">
        <f t="shared" ref="O231:O233" si="99">CONCATENATE(IF(P231=1,IF(OR(AND(G231="1Fib",H231&lt;$Z$51),AND(G231="Yes",H231&lt;$Z$51),AND(G231="No",H231&lt;$Z$51)),"Valid","Invalid"),""),IF(P231=2,IF(OR(AND(G231="1Fib",H231&lt;$Z$51),AND(G231="Yes",H231&lt;$Z$51),AND(G231="Yes",H231&gt;$Z$51)),"Valid","Invalid"),""),IF(P231=3,IF(OR(AND(G231="1Fib",H231&lt;$Z$51),AND(G231="Yes",H231&lt;$Z$51),AND(G231="Yes",H231&gt;$Z$51),AND(G231="No",H231&lt;$Z$51)),"Valid","Invalid"),""))</f>
        <v>Invalid</v>
      </c>
      <c r="P231" s="342">
        <v>3</v>
      </c>
      <c r="Q231" s="242" t="s">
        <v>108</v>
      </c>
      <c r="R231" s="243">
        <f>IF(Z234="Y",MAX(H231:H233),MAX(H229,H230,I231,I234,H236,H237))</f>
        <v>30.276020701552621</v>
      </c>
      <c r="S231" s="375"/>
      <c r="T231" s="376"/>
      <c r="U231" s="377"/>
      <c r="W231" s="3"/>
      <c r="Y231" s="255" t="s">
        <v>28</v>
      </c>
      <c r="Z231" s="256">
        <f>Z195</f>
        <v>8</v>
      </c>
      <c r="AA231" s="2" t="s">
        <v>15</v>
      </c>
      <c r="AB231" s="256">
        <f>AB195</f>
        <v>10</v>
      </c>
      <c r="AC231" s="2" t="s">
        <v>15</v>
      </c>
    </row>
    <row r="232" spans="1:29" ht="15.75" customHeight="1" thickBot="1" x14ac:dyDescent="0.3">
      <c r="A232" s="125" t="s">
        <v>14</v>
      </c>
      <c r="B232" s="324" t="s">
        <v>6</v>
      </c>
      <c r="C232" s="251">
        <f>IF(C220=0,"No Data",K220/(L210/100))</f>
        <v>11.587659894657655</v>
      </c>
      <c r="D232" s="252" t="str">
        <f>IF(D220=0,"No Data",L220/(L211/100))</f>
        <v>No Data</v>
      </c>
      <c r="E232" s="253" t="str">
        <f>IF(E220=0,"No Data",M220/(L212/100))</f>
        <v>No Data</v>
      </c>
      <c r="F232" s="252" t="str">
        <f>IF(F220=0,"No Data",N220/(L213/100))</f>
        <v>No Data</v>
      </c>
      <c r="G232" s="247" t="str">
        <f>IF(COUNT(O220:R220)=1,"1Fib",IF(COUNT(O220:R220)&lt;2,"No Data",IF(AND(S220&gt;K207,K207&gt;T220),"Yes","No")))</f>
        <v>1Fib</v>
      </c>
      <c r="H232" s="270">
        <f>IF(COUNTBLANK(C220:F220)=4,"No Data",MIN(C232:F232))</f>
        <v>11.587659894657655</v>
      </c>
      <c r="I232" s="257">
        <f>MAX(O219:R221)-MIN(O219:R221)</f>
        <v>0.37472000000000016</v>
      </c>
      <c r="J232" s="2" t="s">
        <v>40</v>
      </c>
      <c r="K232" s="249" t="str">
        <f t="shared" si="97"/>
        <v>Invalid</v>
      </c>
      <c r="L232" s="342">
        <v>3</v>
      </c>
      <c r="M232" s="249" t="str">
        <f t="shared" si="98"/>
        <v>Invalid</v>
      </c>
      <c r="N232" s="342">
        <v>1</v>
      </c>
      <c r="O232" s="249" t="str">
        <f t="shared" si="99"/>
        <v>Invalid</v>
      </c>
      <c r="P232" s="342">
        <v>3</v>
      </c>
      <c r="Q232" s="242" t="s">
        <v>54</v>
      </c>
      <c r="R232" s="258">
        <f>SUM(H229,H230,I231)/COUNT(H229,H230,I231)</f>
        <v>14.026476775507696</v>
      </c>
      <c r="S232" s="375"/>
      <c r="T232" s="376"/>
      <c r="U232" s="377"/>
      <c r="W232" s="3"/>
      <c r="Y232" s="95"/>
      <c r="Z232" s="2"/>
      <c r="AA232" s="95"/>
      <c r="AB232" s="95"/>
      <c r="AC232" s="259"/>
    </row>
    <row r="233" spans="1:29" ht="15.75" customHeight="1" thickBot="1" x14ac:dyDescent="0.3">
      <c r="A233" s="125" t="s">
        <v>29</v>
      </c>
      <c r="B233" s="331" t="s">
        <v>7</v>
      </c>
      <c r="C233" s="260">
        <f>IF(C221=0,"No Data",K221/(N210/100))</f>
        <v>16.921638619751853</v>
      </c>
      <c r="D233" s="261">
        <f>IF(D221=0,"No Data",L221/(N211/100))</f>
        <v>34.687468680052135</v>
      </c>
      <c r="E233" s="262">
        <f>IF(E221=0,"No Data",M221/(N212/100))</f>
        <v>52.738964366871357</v>
      </c>
      <c r="F233" s="261" t="str">
        <f>IF(F221=0,"No Data",N221/(N213/100))</f>
        <v>No Data</v>
      </c>
      <c r="G233" s="263" t="str">
        <f>IF(COUNT(O221:R221)=1,"1Fib",IF(COUNT(O221:R221)&lt;2,"No Data",IF(AND(S221&gt;K207,K207&gt;T221),"Yes","No")))</f>
        <v>No</v>
      </c>
      <c r="H233" s="264">
        <f>IF(COUNTBLANK(C221:F221)=4,"No Data",MIN(C233:F233))</f>
        <v>16.921638619751853</v>
      </c>
      <c r="I233" s="265">
        <f>COUNT(C231:F233)</f>
        <v>6</v>
      </c>
      <c r="J233" s="2" t="s">
        <v>41</v>
      </c>
      <c r="K233" s="249" t="str">
        <f t="shared" si="97"/>
        <v>Invalid</v>
      </c>
      <c r="L233" s="342">
        <v>2</v>
      </c>
      <c r="M233" s="249" t="str">
        <f t="shared" si="98"/>
        <v>Invalid</v>
      </c>
      <c r="N233" s="342">
        <v>1</v>
      </c>
      <c r="O233" s="249" t="str">
        <f t="shared" si="99"/>
        <v>Invalid</v>
      </c>
      <c r="P233" s="342">
        <v>3</v>
      </c>
      <c r="Q233" s="250" t="s">
        <v>48</v>
      </c>
      <c r="R233" s="243">
        <f>SUM(I234,H236,H237)/COUNT(I234,H236,H237)</f>
        <v>2.2367902617062785</v>
      </c>
      <c r="S233" s="375"/>
      <c r="T233" s="376"/>
      <c r="U233" s="377"/>
      <c r="W233" s="3"/>
      <c r="Y233" s="2"/>
      <c r="Z233" s="95" t="s">
        <v>38</v>
      </c>
      <c r="AB233" s="95"/>
      <c r="AC233" s="310"/>
    </row>
    <row r="234" spans="1:29" ht="16.5" customHeight="1" thickTop="1" thickBot="1" x14ac:dyDescent="0.3">
      <c r="A234" s="12" t="s">
        <v>47</v>
      </c>
      <c r="B234" s="335" t="s">
        <v>6</v>
      </c>
      <c r="C234" s="268">
        <f>IF(C222=0,"No Data",K222/(G222/100))</f>
        <v>66.666666666666671</v>
      </c>
      <c r="D234" s="268">
        <f t="shared" ref="D234:D237" si="100">IF(D222=0,"No Data",L222/(H222/100))</f>
        <v>27.323656735421455</v>
      </c>
      <c r="E234" s="268">
        <f t="shared" ref="E234:E237" si="101">IF(E222=0,"No Data",M222/(I222/100))</f>
        <v>19.645848289064361</v>
      </c>
      <c r="F234" s="268" t="str">
        <f t="shared" ref="F234:F237" si="102">IF(F222=0,"No Data",N222/(J222/100))</f>
        <v>No Data</v>
      </c>
      <c r="G234" s="269"/>
      <c r="H234" s="270">
        <f>IF(COUNTIF(C222:F222,0)=4,"No Data",MIN(C234:F234))</f>
        <v>19.645848289064361</v>
      </c>
      <c r="I234" s="254">
        <f>MIN(C234:F235)</f>
        <v>6.25</v>
      </c>
      <c r="K234" s="363">
        <f>COUNTIFS(G229:K233,"Valid")</f>
        <v>1</v>
      </c>
      <c r="M234" s="363">
        <f>COUNTIFS(M229:M233,"Valid")</f>
        <v>1</v>
      </c>
      <c r="O234" s="363">
        <f>COUNTIFS(O229:O233,"Valid")</f>
        <v>1</v>
      </c>
      <c r="Q234" s="250" t="s">
        <v>56</v>
      </c>
      <c r="R234" s="243">
        <f>SUM(H229,H230,I231,I234,H236,H237)/COUNT(H229,H230,I231,I234,H236,H237)</f>
        <v>8.1316335186069875</v>
      </c>
      <c r="S234" s="378"/>
      <c r="T234" s="379"/>
      <c r="U234" s="380"/>
      <c r="W234" s="3"/>
      <c r="Y234" s="255" t="s">
        <v>36</v>
      </c>
      <c r="Z234" s="256" t="s">
        <v>57</v>
      </c>
      <c r="AA234" s="255"/>
      <c r="AB234" s="256"/>
      <c r="AC234" s="272"/>
    </row>
    <row r="235" spans="1:29" ht="15.75" customHeight="1" thickBot="1" x14ac:dyDescent="0.3">
      <c r="A235" s="12" t="s">
        <v>47</v>
      </c>
      <c r="B235" s="340" t="s">
        <v>74</v>
      </c>
      <c r="C235" s="273">
        <f t="shared" ref="C235:C237" si="103">IF(C223=0,"No Data",K223/(G223/100))</f>
        <v>6.25</v>
      </c>
      <c r="D235" s="273" t="str">
        <f t="shared" si="100"/>
        <v>No Data</v>
      </c>
      <c r="E235" s="273" t="str">
        <f t="shared" si="101"/>
        <v>No Data</v>
      </c>
      <c r="F235" s="273" t="str">
        <f t="shared" si="102"/>
        <v>No Data</v>
      </c>
      <c r="G235" s="269"/>
      <c r="H235" s="235">
        <f>IF(COUNTIF(C223:F223,0)=4,"No Data",MIN(C235:F235))</f>
        <v>6.25</v>
      </c>
      <c r="I235" s="235"/>
      <c r="K235" s="439" t="s">
        <v>116</v>
      </c>
      <c r="L235" s="439"/>
      <c r="M235" s="439"/>
      <c r="N235" s="439"/>
      <c r="O235" s="439"/>
      <c r="P235" s="439"/>
      <c r="Q235" s="274"/>
      <c r="R235" s="397" t="str">
        <f>CONCATENATE(IF(Y209="Y",Z209,""),IF(Y210="Y",Z210,""),IF(Y211="Y",Z211,""),IF(Y212="Y",Z212,""),IF(Y213="Y",Z213,""),IF(Y214="Y",Z214,""),IF(Y215="Y",Z215,""),IF(Y216="Y",Z216,""),IF(Y217="Y",Z217,""),IF(Y218="Y",Z218,""),IF(Y219="Y",Z219,""),IF(Y220="Y",Z220,""),IF(Y221="Y",Z221,""),IF(Y222="Y",Z222,""),IF(Y223="Y",Z223,""))</f>
        <v xml:space="preserve">[Weak Structure: More than 8 % Price deviation][Structure Violation: C above A] </v>
      </c>
      <c r="S235" s="398"/>
      <c r="T235" s="398"/>
      <c r="U235" s="399"/>
      <c r="W235" s="3"/>
      <c r="Y235" s="2"/>
      <c r="Z235" s="2"/>
      <c r="AC235" s="259"/>
    </row>
    <row r="236" spans="1:29" ht="15.75" thickBot="1" x14ac:dyDescent="0.3">
      <c r="A236" s="12" t="s">
        <v>46</v>
      </c>
      <c r="B236" s="139" t="s">
        <v>6</v>
      </c>
      <c r="C236" s="273">
        <f t="shared" si="103"/>
        <v>77.777777777777786</v>
      </c>
      <c r="D236" s="273">
        <f t="shared" si="100"/>
        <v>9.8750171679714249</v>
      </c>
      <c r="E236" s="273">
        <f t="shared" si="101"/>
        <v>0.46037078511883545</v>
      </c>
      <c r="F236" s="273" t="str">
        <f t="shared" si="102"/>
        <v>No Data</v>
      </c>
      <c r="G236" s="275"/>
      <c r="H236" s="235">
        <f>IF(COUNTIF(C224:F224,0)=4,"No Data",MIN(C236:F236))</f>
        <v>0.46037078511883545</v>
      </c>
      <c r="I236" s="235"/>
      <c r="K236" s="440" t="s">
        <v>126</v>
      </c>
      <c r="L236" s="440"/>
      <c r="M236" s="440"/>
      <c r="N236" s="440"/>
      <c r="O236" s="440"/>
      <c r="P236" s="440"/>
      <c r="Q236" s="276" t="s">
        <v>34</v>
      </c>
      <c r="R236" s="400"/>
      <c r="S236" s="401"/>
      <c r="T236" s="401"/>
      <c r="U236" s="402"/>
      <c r="W236" s="3"/>
      <c r="Y236" s="2"/>
      <c r="Z236" s="2"/>
      <c r="AC236" s="259"/>
    </row>
    <row r="237" spans="1:29" ht="15.75" thickBot="1" x14ac:dyDescent="0.3">
      <c r="A237" s="12" t="s">
        <v>66</v>
      </c>
      <c r="B237" s="354" t="s">
        <v>6</v>
      </c>
      <c r="C237" s="277" t="str">
        <f t="shared" si="103"/>
        <v>No Data</v>
      </c>
      <c r="D237" s="277" t="str">
        <f t="shared" si="100"/>
        <v>No Data</v>
      </c>
      <c r="E237" s="277" t="str">
        <f t="shared" si="101"/>
        <v>No Data</v>
      </c>
      <c r="F237" s="277" t="str">
        <f t="shared" si="102"/>
        <v>No Data</v>
      </c>
      <c r="G237" s="278"/>
      <c r="H237" s="235">
        <f>IF(COUNTIF(C225:F225,0)=4,"No Data",MIN(C237:F237))</f>
        <v>0</v>
      </c>
      <c r="I237" s="235"/>
      <c r="K237" s="440" t="s">
        <v>127</v>
      </c>
      <c r="L237" s="440"/>
      <c r="M237" s="440"/>
      <c r="N237" s="440"/>
      <c r="O237" s="440"/>
      <c r="P237" s="440"/>
      <c r="Q237" s="250"/>
      <c r="R237" s="403"/>
      <c r="S237" s="404"/>
      <c r="T237" s="404"/>
      <c r="U237" s="405"/>
      <c r="W237" s="3"/>
      <c r="Y237" s="2"/>
      <c r="Z237" s="256"/>
      <c r="AA237" s="255"/>
      <c r="AB237" s="256"/>
      <c r="AC237" s="259"/>
    </row>
    <row r="238" spans="1:29" x14ac:dyDescent="0.25">
      <c r="I238" s="279"/>
      <c r="J238" s="281"/>
      <c r="K238" s="283"/>
      <c r="L238" s="283"/>
      <c r="M238" s="284"/>
      <c r="N238" s="285"/>
      <c r="O238" s="283"/>
      <c r="P238" s="283"/>
      <c r="W238" s="3"/>
    </row>
    <row r="239" spans="1:29" s="292" customFormat="1" ht="27.75" customHeight="1" x14ac:dyDescent="0.25">
      <c r="A239" s="3"/>
      <c r="B239" s="3"/>
      <c r="C239" s="3"/>
      <c r="D239" s="289"/>
      <c r="E239" s="290"/>
      <c r="F239" s="290"/>
      <c r="G239" s="290"/>
      <c r="M239" s="290"/>
      <c r="N239" s="290"/>
      <c r="O239" s="3"/>
      <c r="P239" s="293"/>
      <c r="Q239" s="294"/>
      <c r="R239" s="295"/>
      <c r="S239" s="295"/>
      <c r="T239" s="3"/>
      <c r="W239" s="3"/>
      <c r="Y239" s="296"/>
      <c r="Z239" s="297"/>
    </row>
    <row r="240" spans="1:29" ht="15.75" thickBot="1" x14ac:dyDescent="0.3">
      <c r="A240" s="78"/>
      <c r="B240" s="78"/>
      <c r="C240" s="78"/>
      <c r="D240" s="298"/>
      <c r="E240" s="259"/>
      <c r="F240" s="259"/>
      <c r="G240" s="259"/>
      <c r="H240" s="259"/>
      <c r="I240" s="259"/>
      <c r="J240" s="259"/>
      <c r="K240" s="259"/>
      <c r="L240" s="259"/>
      <c r="M240" s="259"/>
      <c r="N240" s="259"/>
      <c r="O240" s="78"/>
      <c r="P240" s="78"/>
      <c r="Q240" s="78"/>
      <c r="R240" s="78"/>
      <c r="S240" s="78"/>
      <c r="W240" s="3"/>
    </row>
    <row r="241" spans="1:30" s="89" customFormat="1" ht="16.5" customHeight="1" thickBot="1" x14ac:dyDescent="0.3">
      <c r="A241" s="82"/>
      <c r="B241" s="299" t="s">
        <v>95</v>
      </c>
      <c r="C241" s="425">
        <f>C205</f>
        <v>0</v>
      </c>
      <c r="D241" s="426"/>
      <c r="E241" s="425">
        <f>E205</f>
        <v>9</v>
      </c>
      <c r="F241" s="426"/>
      <c r="G241" s="425">
        <f>G205</f>
        <v>16</v>
      </c>
      <c r="H241" s="426"/>
      <c r="I241" s="425">
        <f>I205</f>
        <v>23</v>
      </c>
      <c r="J241" s="426"/>
      <c r="K241" s="425">
        <f>K205</f>
        <v>30</v>
      </c>
      <c r="L241" s="426"/>
      <c r="M241" s="425">
        <f>M205</f>
        <v>33</v>
      </c>
      <c r="N241" s="426"/>
      <c r="O241" s="395"/>
      <c r="P241" s="395"/>
      <c r="Q241" s="395"/>
      <c r="R241" s="395"/>
      <c r="S241" s="395"/>
      <c r="T241" s="395"/>
      <c r="U241" s="395"/>
      <c r="V241" s="395"/>
      <c r="W241" s="3"/>
      <c r="Y241" s="4"/>
      <c r="Z241" s="5"/>
    </row>
    <row r="242" spans="1:30" ht="34.5" thickBot="1" x14ac:dyDescent="0.3">
      <c r="A242" s="300" t="s">
        <v>60</v>
      </c>
      <c r="B242" s="360">
        <v>6</v>
      </c>
      <c r="C242" s="421" t="s">
        <v>5</v>
      </c>
      <c r="D242" s="422"/>
      <c r="E242" s="421" t="s">
        <v>1</v>
      </c>
      <c r="F242" s="422"/>
      <c r="G242" s="421" t="s">
        <v>2</v>
      </c>
      <c r="H242" s="422"/>
      <c r="I242" s="421" t="s">
        <v>3</v>
      </c>
      <c r="J242" s="422"/>
      <c r="K242" s="421" t="s">
        <v>4</v>
      </c>
      <c r="L242" s="422"/>
      <c r="M242" s="421" t="s">
        <v>93</v>
      </c>
      <c r="N242" s="422"/>
      <c r="O242" s="396"/>
      <c r="P242" s="396"/>
      <c r="Q242" s="396"/>
      <c r="R242" s="396"/>
      <c r="S242" s="396"/>
      <c r="T242" s="396"/>
      <c r="U242" s="396"/>
      <c r="V242" s="396"/>
      <c r="W242" s="3"/>
      <c r="X242" s="302" t="str">
        <f>A242</f>
        <v>Nw Cypher</v>
      </c>
      <c r="Y242" s="361"/>
      <c r="Z242" s="362"/>
    </row>
    <row r="243" spans="1:30" ht="15.75" customHeight="1" thickBot="1" x14ac:dyDescent="0.3">
      <c r="A243" s="90"/>
      <c r="B243" s="91" t="s">
        <v>96</v>
      </c>
      <c r="C243" s="447">
        <f>C207</f>
        <v>1.8</v>
      </c>
      <c r="D243" s="448"/>
      <c r="E243" s="447">
        <f>E207</f>
        <v>1.2</v>
      </c>
      <c r="F243" s="448"/>
      <c r="G243" s="447">
        <f>G207</f>
        <v>1.57</v>
      </c>
      <c r="H243" s="448"/>
      <c r="I243" s="447">
        <f>I207</f>
        <v>1.2789999999999999</v>
      </c>
      <c r="J243" s="448"/>
      <c r="K243" s="447">
        <f>K207</f>
        <v>1.67</v>
      </c>
      <c r="L243" s="448"/>
      <c r="M243" s="447">
        <f>M207</f>
        <v>0</v>
      </c>
      <c r="N243" s="448"/>
      <c r="O243" s="394"/>
      <c r="P243" s="394"/>
      <c r="Q243" s="394"/>
      <c r="R243" s="394"/>
      <c r="S243" s="394"/>
      <c r="T243" s="394"/>
      <c r="U243" s="394"/>
      <c r="V243" s="394"/>
      <c r="W243" s="3"/>
    </row>
    <row r="244" spans="1:30" ht="34.5" thickBot="1" x14ac:dyDescent="0.3">
      <c r="A244" s="92"/>
      <c r="B244" s="92"/>
      <c r="C244" s="93" t="s">
        <v>16</v>
      </c>
      <c r="D244" s="430" t="s">
        <v>6</v>
      </c>
      <c r="E244" s="431"/>
      <c r="F244" s="430" t="s">
        <v>7</v>
      </c>
      <c r="G244" s="431"/>
      <c r="H244" s="430" t="s">
        <v>8</v>
      </c>
      <c r="I244" s="431"/>
      <c r="J244" s="430" t="s">
        <v>9</v>
      </c>
      <c r="K244" s="431"/>
      <c r="L244" s="449" t="s">
        <v>30</v>
      </c>
      <c r="M244" s="393"/>
      <c r="N244" s="449" t="s">
        <v>31</v>
      </c>
      <c r="O244" s="393"/>
      <c r="P244" s="304"/>
      <c r="Q244" s="78"/>
      <c r="R244" s="78"/>
      <c r="W244" s="3"/>
      <c r="Y244" s="305" t="s">
        <v>36</v>
      </c>
      <c r="Z244" s="230" t="s">
        <v>71</v>
      </c>
      <c r="AA244" s="306" t="s">
        <v>80</v>
      </c>
      <c r="AB244" s="307"/>
      <c r="AC244" s="307"/>
      <c r="AD244" s="308"/>
    </row>
    <row r="245" spans="1:30" ht="15.75" thickBot="1" x14ac:dyDescent="0.3">
      <c r="A245" s="441"/>
      <c r="B245" s="442"/>
      <c r="C245" s="93" t="s">
        <v>33</v>
      </c>
      <c r="D245" s="423">
        <f>IF(C243&lt;E243,E243-C243,C243-E243)</f>
        <v>0.60000000000000009</v>
      </c>
      <c r="E245" s="424"/>
      <c r="F245" s="423">
        <f>IF(G243&lt;E243,E243-G243,G243-E243)</f>
        <v>0.37000000000000011</v>
      </c>
      <c r="G245" s="424"/>
      <c r="H245" s="423">
        <f>IF(I243&lt;G243,G243-I243,I243-G243)</f>
        <v>0.29100000000000015</v>
      </c>
      <c r="I245" s="424"/>
      <c r="J245" s="423">
        <f>IF(K243&lt;I243,I243-K243,K243-I243)</f>
        <v>0.39100000000000001</v>
      </c>
      <c r="K245" s="424"/>
      <c r="L245" s="423">
        <f>IF(C243&lt;E243,E243-C243,C243-E243)</f>
        <v>0.60000000000000009</v>
      </c>
      <c r="M245" s="424"/>
      <c r="N245" s="423">
        <f>IF(E243&lt;G243,G243-E243,E243-G243)</f>
        <v>0.37000000000000011</v>
      </c>
      <c r="O245" s="424"/>
      <c r="P245" s="78"/>
      <c r="Q245" s="76"/>
      <c r="R245" s="76"/>
      <c r="W245" s="3"/>
      <c r="X245" s="2">
        <v>1</v>
      </c>
      <c r="Y245" s="311" t="s">
        <v>70</v>
      </c>
      <c r="Z245" s="312" t="str">
        <f>IF(R265&gt;Z267,CONCATENATE("[Weak Structure: More than ",Z267," % Price deviation]"),"")</f>
        <v>[Weak Structure: More than 8 % Price deviation]</v>
      </c>
      <c r="AA245" s="381" t="s">
        <v>72</v>
      </c>
      <c r="AB245" s="382"/>
      <c r="AC245" s="382"/>
      <c r="AD245" s="383"/>
    </row>
    <row r="246" spans="1:30" ht="15.75" thickBot="1" x14ac:dyDescent="0.3">
      <c r="A246" s="443"/>
      <c r="B246" s="444"/>
      <c r="C246" s="93" t="s">
        <v>18</v>
      </c>
      <c r="D246" s="437" t="s">
        <v>17</v>
      </c>
      <c r="E246" s="438"/>
      <c r="F246" s="437">
        <f>IF(C253&gt;0,(D245*C253),"No Data")</f>
        <v>0.22920000000000004</v>
      </c>
      <c r="G246" s="438"/>
      <c r="H246" s="437">
        <f>IF(C254&gt;0,(F245*C254),"No Data")</f>
        <v>0.52318000000000009</v>
      </c>
      <c r="I246" s="438"/>
      <c r="J246" s="437">
        <f>IF(C255&gt;0,(H245*C255),"No Data")</f>
        <v>0.32824800000000015</v>
      </c>
      <c r="K246" s="438"/>
      <c r="L246" s="437">
        <f>IF(C256&gt;0,(L245*C256),"No Data")</f>
        <v>0.47160000000000007</v>
      </c>
      <c r="M246" s="438"/>
      <c r="N246" s="437">
        <f>IF(C257&gt;0,(N245*C257),"No Data")</f>
        <v>0.37000000000000011</v>
      </c>
      <c r="O246" s="438"/>
      <c r="P246" s="314"/>
      <c r="Q246" s="76"/>
      <c r="R246" s="76"/>
      <c r="W246" s="3"/>
      <c r="X246" s="2">
        <v>2</v>
      </c>
      <c r="Y246" s="311" t="s">
        <v>70</v>
      </c>
      <c r="Z246" s="312" t="str">
        <f>IF(R266&gt;AB267,CONCATENATE("[Weak Structure: More than ",AB267," % Time deviation]"),"")</f>
        <v/>
      </c>
      <c r="AA246" s="381" t="s">
        <v>73</v>
      </c>
      <c r="AB246" s="382"/>
      <c r="AC246" s="382"/>
      <c r="AD246" s="383"/>
    </row>
    <row r="247" spans="1:30" ht="15.75" thickBot="1" x14ac:dyDescent="0.3">
      <c r="A247" s="443"/>
      <c r="B247" s="444"/>
      <c r="C247" s="93" t="s">
        <v>19</v>
      </c>
      <c r="D247" s="437" t="s">
        <v>17</v>
      </c>
      <c r="E247" s="438"/>
      <c r="F247" s="437">
        <f>IF(D253&gt;0,(D245*D253),"No Data")</f>
        <v>0.37080000000000007</v>
      </c>
      <c r="G247" s="438"/>
      <c r="H247" s="437">
        <f>IF(D254&gt;0,(F245*D254),"No Data")</f>
        <v>0.79180000000000028</v>
      </c>
      <c r="I247" s="438"/>
      <c r="J247" s="437">
        <f>IF(D255&gt;0,(H245*D255),"No Data")</f>
        <v>0.58200000000000029</v>
      </c>
      <c r="K247" s="438"/>
      <c r="L247" s="437" t="str">
        <f>IF(D256&gt;0,(L245*D256),"No Data")</f>
        <v>No Data</v>
      </c>
      <c r="M247" s="438"/>
      <c r="N247" s="437" t="str">
        <f>IF(D257&gt;0,(N245*D257),"No Data")</f>
        <v>No Data</v>
      </c>
      <c r="O247" s="438"/>
      <c r="P247" s="314"/>
      <c r="Q247" s="76"/>
      <c r="R247" s="76"/>
      <c r="W247" s="3"/>
      <c r="X247" s="2">
        <v>3</v>
      </c>
      <c r="Y247" s="311"/>
      <c r="Z247" s="315"/>
      <c r="AA247" s="381"/>
      <c r="AB247" s="382"/>
      <c r="AC247" s="382"/>
      <c r="AD247" s="383"/>
    </row>
    <row r="248" spans="1:30" ht="15.75" thickBot="1" x14ac:dyDescent="0.3">
      <c r="A248" s="443"/>
      <c r="B248" s="444"/>
      <c r="C248" s="93" t="s">
        <v>20</v>
      </c>
      <c r="D248" s="437" t="s">
        <v>17</v>
      </c>
      <c r="E248" s="438"/>
      <c r="F248" s="437" t="str">
        <f>IF(E253&gt;0,(D245*E253),"No Data")</f>
        <v>No Data</v>
      </c>
      <c r="G248" s="438"/>
      <c r="H248" s="437" t="str">
        <f>IF(E254&gt;0,(F245*E254),"No Data")</f>
        <v>No Data</v>
      </c>
      <c r="I248" s="438"/>
      <c r="J248" s="437" t="str">
        <f>IF(E255&gt;0,(H245*E255),"No Data")</f>
        <v>No Data</v>
      </c>
      <c r="K248" s="438"/>
      <c r="L248" s="437" t="str">
        <f>IF(E256&gt;0,(L245*E256),"No Data")</f>
        <v>No Data</v>
      </c>
      <c r="M248" s="438"/>
      <c r="N248" s="437" t="str">
        <f>IF(E257&gt;0,(N245*E257),"No Data")</f>
        <v>No Data</v>
      </c>
      <c r="O248" s="438"/>
      <c r="P248" s="314"/>
      <c r="Q248" s="76"/>
      <c r="R248" s="76"/>
      <c r="W248" s="3"/>
      <c r="X248" s="2">
        <v>4</v>
      </c>
      <c r="Y248" s="311"/>
      <c r="Z248" s="317"/>
      <c r="AA248" s="381"/>
      <c r="AB248" s="382"/>
      <c r="AC248" s="382"/>
      <c r="AD248" s="383"/>
    </row>
    <row r="249" spans="1:30" ht="15.75" thickBot="1" x14ac:dyDescent="0.3">
      <c r="A249" s="445"/>
      <c r="B249" s="446"/>
      <c r="C249" s="93" t="s">
        <v>21</v>
      </c>
      <c r="D249" s="437" t="s">
        <v>17</v>
      </c>
      <c r="E249" s="438"/>
      <c r="F249" s="437" t="str">
        <f>IF(F253&gt;0,(D245*F253),"No Data")</f>
        <v>No Data</v>
      </c>
      <c r="G249" s="438"/>
      <c r="H249" s="437" t="str">
        <f>IF(F254&gt;0,(F245*F254),"No Data")</f>
        <v>No Data</v>
      </c>
      <c r="I249" s="438"/>
      <c r="J249" s="437" t="str">
        <f>IF(F255&gt;0,(H245*F255),"No Data")</f>
        <v>No Data</v>
      </c>
      <c r="K249" s="438"/>
      <c r="L249" s="437" t="str">
        <f>IF(F256&gt;0,(L245*F256),"No Data")</f>
        <v>No Data</v>
      </c>
      <c r="M249" s="438"/>
      <c r="N249" s="437" t="str">
        <f>IF(F257&gt;0,(N245*F257),"No Data")</f>
        <v>No Data</v>
      </c>
      <c r="O249" s="438"/>
      <c r="P249" s="314"/>
      <c r="Q249" s="76"/>
      <c r="R249" s="76"/>
      <c r="W249" s="3"/>
      <c r="X249" s="2">
        <v>5</v>
      </c>
      <c r="Y249" s="311" t="s">
        <v>70</v>
      </c>
      <c r="Z249" s="312" t="str">
        <f>IF(C243&gt;E243,IF(AND(C243&gt;E243,E243&lt;G243,G243&gt;I243,I243&lt;K243),"","[No Structure found] "),IF(AND(C243&lt;E243,E243&gt;G243,G243&lt;I243,I243&gt;K243),"","[No Structure found] "))</f>
        <v/>
      </c>
      <c r="AA249" s="381" t="s">
        <v>81</v>
      </c>
      <c r="AB249" s="382"/>
      <c r="AC249" s="382"/>
      <c r="AD249" s="383"/>
    </row>
    <row r="250" spans="1:30" ht="19.5" thickBot="1" x14ac:dyDescent="0.3">
      <c r="A250" s="432" t="str">
        <f>CONCATENATE(IF(C243&gt;E243,"Bearish",""),(IF(C243&lt;E243,"Bullish","")))</f>
        <v>Bearish</v>
      </c>
      <c r="B250" s="433"/>
      <c r="N250" s="114"/>
      <c r="W250" s="3"/>
      <c r="X250" s="2">
        <v>6</v>
      </c>
      <c r="Y250" s="311" t="s">
        <v>70</v>
      </c>
      <c r="Z250" s="312" t="str">
        <f>CONCATENATE(IF(AND(C243&gt;E243,K243&gt;C243),"[Structure Violation: D passed X] ",""),IF(AND(C243&lt;E243,K243&lt;C243),"[Structure Violation: D passed X] ",""))</f>
        <v/>
      </c>
      <c r="AA250" s="381" t="s">
        <v>83</v>
      </c>
      <c r="AB250" s="382"/>
      <c r="AC250" s="382"/>
      <c r="AD250" s="383"/>
    </row>
    <row r="251" spans="1:30" ht="15.75" thickBot="1" x14ac:dyDescent="0.3">
      <c r="C251" s="418" t="s">
        <v>50</v>
      </c>
      <c r="D251" s="419"/>
      <c r="E251" s="419"/>
      <c r="F251" s="420"/>
      <c r="G251" s="427" t="s">
        <v>49</v>
      </c>
      <c r="H251" s="428"/>
      <c r="I251" s="428"/>
      <c r="J251" s="429"/>
      <c r="K251" s="427" t="s">
        <v>52</v>
      </c>
      <c r="L251" s="428"/>
      <c r="M251" s="428"/>
      <c r="N251" s="428"/>
      <c r="O251" s="427" t="s">
        <v>67</v>
      </c>
      <c r="P251" s="428"/>
      <c r="Q251" s="428"/>
      <c r="R251" s="429"/>
      <c r="S251" s="384" t="s">
        <v>65</v>
      </c>
      <c r="T251" s="385"/>
      <c r="W251" s="3"/>
      <c r="X251" s="2">
        <v>7</v>
      </c>
      <c r="Y251" s="311" t="s">
        <v>57</v>
      </c>
      <c r="Z251" s="318" t="str">
        <f>CONCATENATE(IF(AND(C243&gt;E243,I243&lt;E243),"[Structure Violation: C passed A] ",""),IF(AND(C243&lt;E243,I243&gt;E243),"[Structure Violation: C passed A] ",""))</f>
        <v/>
      </c>
      <c r="AA251" s="381" t="s">
        <v>84</v>
      </c>
      <c r="AB251" s="382"/>
      <c r="AC251" s="382"/>
      <c r="AD251" s="383"/>
    </row>
    <row r="252" spans="1:30" ht="15.75" thickBot="1" x14ac:dyDescent="0.3">
      <c r="A252" s="115" t="s">
        <v>10</v>
      </c>
      <c r="B252" s="116" t="s">
        <v>51</v>
      </c>
      <c r="C252" s="319">
        <v>1</v>
      </c>
      <c r="D252" s="319">
        <v>2</v>
      </c>
      <c r="E252" s="319">
        <v>3</v>
      </c>
      <c r="F252" s="319">
        <v>4</v>
      </c>
      <c r="G252" s="118">
        <v>1</v>
      </c>
      <c r="H252" s="118">
        <v>2</v>
      </c>
      <c r="I252" s="118">
        <v>3</v>
      </c>
      <c r="J252" s="118">
        <v>4</v>
      </c>
      <c r="K252" s="119">
        <v>1</v>
      </c>
      <c r="L252" s="119">
        <v>2</v>
      </c>
      <c r="M252" s="119">
        <v>3</v>
      </c>
      <c r="N252" s="120">
        <v>4</v>
      </c>
      <c r="O252" s="118">
        <v>1</v>
      </c>
      <c r="P252" s="119">
        <v>2</v>
      </c>
      <c r="Q252" s="118">
        <v>3</v>
      </c>
      <c r="R252" s="119">
        <v>4</v>
      </c>
      <c r="S252" s="121" t="s">
        <v>63</v>
      </c>
      <c r="T252" s="122" t="s">
        <v>64</v>
      </c>
      <c r="W252" s="3"/>
      <c r="X252" s="2">
        <v>8</v>
      </c>
      <c r="Y252" s="311" t="s">
        <v>70</v>
      </c>
      <c r="Z252" s="312" t="str">
        <f>CONCATENATE(IF(AND(C243&gt;E243,G243&gt;C243),"[Structure Violaton: B passed X] ",""),IF(AND(C243&lt;E243,G243&lt;C243),"[Structure Violation: B passed X] ",""))</f>
        <v/>
      </c>
      <c r="AA252" s="381" t="s">
        <v>85</v>
      </c>
      <c r="AB252" s="382"/>
      <c r="AC252" s="382"/>
      <c r="AD252" s="383"/>
    </row>
    <row r="253" spans="1:30" ht="15.75" thickBot="1" x14ac:dyDescent="0.3">
      <c r="A253" s="125" t="s">
        <v>11</v>
      </c>
      <c r="B253" s="320" t="s">
        <v>6</v>
      </c>
      <c r="C253" s="321">
        <v>0.38200000000000001</v>
      </c>
      <c r="D253" s="322">
        <v>0.61799999999999999</v>
      </c>
      <c r="E253" s="322"/>
      <c r="F253" s="323"/>
      <c r="G253" s="130">
        <f>IF(C243&gt;E243,IF(C253&gt;0,E243+(D245*C253),0),IF(C253&gt;0,E243-(D245*C253),0))</f>
        <v>1.4292</v>
      </c>
      <c r="H253" s="131">
        <f>IF(C243&gt;E243,IF(D253&gt;0,E243+(D245*D253),0),IF(D253&gt;0,E243-(D245*D253),0))</f>
        <v>1.5708</v>
      </c>
      <c r="I253" s="131">
        <f>IF(C243&gt;E243,IF(E253&gt;0,E243+(D245*E253),0),IF(E253&gt;0,E243-(D245*E253),0))</f>
        <v>0</v>
      </c>
      <c r="J253" s="131">
        <f>IF(C243&gt;E243,IF(F253&gt;0,E243+(D245*F253),0),IF(F253&gt;0,E243-(D245*F253),0))</f>
        <v>0</v>
      </c>
      <c r="K253" s="133">
        <f>IF(C253&gt;0,IF(G253&lt;G243,G243-G253,G253-G243),0)</f>
        <v>0.14080000000000004</v>
      </c>
      <c r="L253" s="134">
        <f>IF(D253&gt;0,IF(H253&lt;G243,G243-H253,H253-G243),0)</f>
        <v>7.9999999999991189E-4</v>
      </c>
      <c r="M253" s="134">
        <f>IF(E253&gt;0,IF(I253&lt;G243,G243-I253,I253-G243),0)</f>
        <v>0</v>
      </c>
      <c r="N253" s="135">
        <f>IF(F253&gt;0,IF(J253&lt;G243,G243-J253,J253-G243),0)</f>
        <v>0</v>
      </c>
      <c r="O253" s="130">
        <f t="shared" ref="O253:O255" si="104">IF(C253=0,"No Data",G253)</f>
        <v>1.4292</v>
      </c>
      <c r="P253" s="131">
        <f t="shared" ref="P253:P255" si="105">IF(D253=0,"No Data",H253)</f>
        <v>1.5708</v>
      </c>
      <c r="Q253" s="131" t="str">
        <f t="shared" ref="Q253:Q261" si="106">IF(E253=0,"No Data",I253)</f>
        <v>No Data</v>
      </c>
      <c r="R253" s="132" t="str">
        <f t="shared" ref="R253:R255" si="107">IF(F253=0,"No Data",J253)</f>
        <v>No Data</v>
      </c>
      <c r="S253" s="136">
        <f t="shared" ref="S253:S257" si="108">MAX(O253:R253)</f>
        <v>1.5708</v>
      </c>
      <c r="T253" s="137">
        <f t="shared" ref="T253:T254" si="109">MIN(O253:R253)</f>
        <v>1.4292</v>
      </c>
      <c r="W253" s="3"/>
      <c r="X253" s="2">
        <v>9</v>
      </c>
      <c r="Y253" s="311" t="s">
        <v>70</v>
      </c>
      <c r="Z253" s="312" t="str">
        <f>CONCATENATE(IF(AND(C243&gt;E243,I243&gt;E243),"[Structure Violation: C above A] ",""),IF(AND(C243&lt;E243,I243&lt;E243),"[Structure Violation: C below A] ",""))</f>
        <v xml:space="preserve">[Structure Violation: C above A] </v>
      </c>
      <c r="AA253" s="381" t="s">
        <v>86</v>
      </c>
      <c r="AB253" s="382"/>
      <c r="AC253" s="382"/>
      <c r="AD253" s="383"/>
    </row>
    <row r="254" spans="1:30" ht="15.75" thickBot="1" x14ac:dyDescent="0.3">
      <c r="A254" s="125" t="s">
        <v>12</v>
      </c>
      <c r="B254" s="324" t="s">
        <v>7</v>
      </c>
      <c r="C254" s="325">
        <v>1.4139999999999999</v>
      </c>
      <c r="D254" s="326">
        <v>2.14</v>
      </c>
      <c r="E254" s="326"/>
      <c r="F254" s="327"/>
      <c r="G254" s="143">
        <f>IF(C243&gt;E243,IF(C254&gt;0,G243-(F245*C254),0),IF(C254&gt;0,G243+(F245*C254),0))</f>
        <v>1.0468199999999999</v>
      </c>
      <c r="H254" s="144">
        <f>IF(C243&gt;E243,IF(D254&gt;0,G243-(F245*D254),0),IF(D254&gt;0,G243+(F245*D254),0))</f>
        <v>0.77819999999999978</v>
      </c>
      <c r="I254" s="144">
        <f>IF(C243&gt;E243,IF(E254&gt;0,G243-(F245*E254),0),IF(E254&gt;0,G243+(F245*E254),0))</f>
        <v>0</v>
      </c>
      <c r="J254" s="328">
        <f>IF(C243&gt;E243,IF(F254&gt;0,G243-(F245*F254),0),IF(F254&gt;0,G243+(F245*F254),0))</f>
        <v>0</v>
      </c>
      <c r="K254" s="146">
        <f>IF(C254&gt;0,IF(G254&lt;I243,I243-G254,G254-I243),0)</f>
        <v>0.23218000000000005</v>
      </c>
      <c r="L254" s="147">
        <f>IF(D254&gt;0,IF(H254&lt;I243,I243-H254,H254-I243),0)</f>
        <v>0.50080000000000013</v>
      </c>
      <c r="M254" s="147">
        <f>IF(E254&gt;0,IF(I254&lt;I243,I243-I254,I254-I243),0)</f>
        <v>0</v>
      </c>
      <c r="N254" s="148">
        <f>IF(F254&gt;0,IF(J254&lt;I243,I243-J254,J254-I243),0)</f>
        <v>0</v>
      </c>
      <c r="O254" s="143">
        <f t="shared" si="104"/>
        <v>1.0468199999999999</v>
      </c>
      <c r="P254" s="144">
        <f t="shared" si="105"/>
        <v>0.77819999999999978</v>
      </c>
      <c r="Q254" s="144" t="str">
        <f t="shared" si="106"/>
        <v>No Data</v>
      </c>
      <c r="R254" s="145" t="str">
        <f t="shared" si="107"/>
        <v>No Data</v>
      </c>
      <c r="S254" s="149">
        <f t="shared" si="108"/>
        <v>1.0468199999999999</v>
      </c>
      <c r="T254" s="150">
        <f t="shared" si="109"/>
        <v>0.77819999999999978</v>
      </c>
      <c r="W254" s="3"/>
      <c r="X254" s="2">
        <v>10</v>
      </c>
      <c r="Y254" s="311" t="s">
        <v>57</v>
      </c>
      <c r="Z254" s="318" t="str">
        <f>CONCATENATE(IF(AND(C243&gt;E243,G243&gt;K243),"[Structure Violation: B above D] ",""),IF(AND(C243&lt;E243,G243&lt;K243),"[Structure Violation: B below D] ",""))</f>
        <v/>
      </c>
      <c r="AA254" s="381" t="s">
        <v>87</v>
      </c>
      <c r="AB254" s="382"/>
      <c r="AC254" s="382"/>
      <c r="AD254" s="383"/>
    </row>
    <row r="255" spans="1:30" ht="15.75" thickBot="1" x14ac:dyDescent="0.3">
      <c r="A255" s="125" t="s">
        <v>13</v>
      </c>
      <c r="B255" s="324" t="s">
        <v>8</v>
      </c>
      <c r="C255" s="325">
        <v>1.1279999999999999</v>
      </c>
      <c r="D255" s="326">
        <v>2</v>
      </c>
      <c r="E255" s="326"/>
      <c r="F255" s="327"/>
      <c r="G255" s="143">
        <f>IF(C243&gt;E243,IF(C255&gt;0,I243+(H245*C255),0),IF(C255&gt;0,I243-(H245*C255),0))</f>
        <v>1.607248</v>
      </c>
      <c r="H255" s="144">
        <f>IF(C243&gt;E243,IF(D255&gt;0,I243+(H245*D255),0),IF(D255&gt;0,I243-(H245*D255),0))</f>
        <v>1.8610000000000002</v>
      </c>
      <c r="I255" s="144">
        <f>IF(C243&gt;E243,IF(E255&gt;0,I243+(H245*E255),0),IF(E255&gt;0,I243-(H245*E255),0))</f>
        <v>0</v>
      </c>
      <c r="J255" s="328">
        <f>IF(C243&gt;E243,IF(F255&gt;0,I243+(H245*F255),0),IF(F255&gt;0,I243-(H245*F255),0))</f>
        <v>0</v>
      </c>
      <c r="K255" s="146">
        <f>IF(C255&gt;0,IF(G255&lt;K243,K243-G255,G255-K243),0)</f>
        <v>6.2751999999999919E-2</v>
      </c>
      <c r="L255" s="147">
        <f>IF(D255&gt;0,IF(H255&lt;K243,K243-H255,H255-K243),0)</f>
        <v>0.19100000000000028</v>
      </c>
      <c r="M255" s="147">
        <f>IF(E255&gt;0,IF(I255&lt;K243,K243-I255,I255-K243),0)</f>
        <v>0</v>
      </c>
      <c r="N255" s="148">
        <f>IF(F255&gt;0,IF(J255&lt;K243,K243-J255,J255-K243),0)</f>
        <v>0</v>
      </c>
      <c r="O255" s="143">
        <f t="shared" si="104"/>
        <v>1.607248</v>
      </c>
      <c r="P255" s="144">
        <f t="shared" si="105"/>
        <v>1.8610000000000002</v>
      </c>
      <c r="Q255" s="144" t="str">
        <f t="shared" si="106"/>
        <v>No Data</v>
      </c>
      <c r="R255" s="145" t="str">
        <f t="shared" si="107"/>
        <v>No Data</v>
      </c>
      <c r="S255" s="151">
        <f t="shared" si="108"/>
        <v>1.8610000000000002</v>
      </c>
      <c r="T255" s="150">
        <f>MIN(O255:R255)</f>
        <v>1.607248</v>
      </c>
      <c r="W255" s="3"/>
      <c r="X255" s="2">
        <v>11</v>
      </c>
      <c r="Y255" s="311" t="s">
        <v>57</v>
      </c>
      <c r="Z255" s="312" t="str">
        <f>CONCATENATE(IF(AND(C243&gt;E243,K243&lt;C243),"[Structure Violation: D below X] ",""),IF(AND(C243&lt;E243,K243&gt;C243),"[Structure Violation: D above X] ",""))</f>
        <v xml:space="preserve">[Structure Violation: D below X] </v>
      </c>
      <c r="AA255" s="381" t="s">
        <v>88</v>
      </c>
      <c r="AB255" s="382"/>
      <c r="AC255" s="382"/>
      <c r="AD255" s="383"/>
    </row>
    <row r="256" spans="1:30" ht="15.75" thickBot="1" x14ac:dyDescent="0.3">
      <c r="A256" s="125" t="s">
        <v>14</v>
      </c>
      <c r="B256" s="324" t="s">
        <v>6</v>
      </c>
      <c r="C256" s="325">
        <v>0.78600000000000003</v>
      </c>
      <c r="D256" s="326"/>
      <c r="E256" s="326"/>
      <c r="F256" s="327"/>
      <c r="G256" s="152">
        <f>IF(C243&gt;E243,IF(C256&gt;0,E243+(D245*C256),0),IF(C256&gt;0,E243-(D245*C256),0))</f>
        <v>1.6716</v>
      </c>
      <c r="H256" s="144">
        <f>IF(C243&gt;E243,IF(D256&gt;0,E243+(D245*D256),0),IF(D256&gt;0,E243-(D245*D256),0))</f>
        <v>0</v>
      </c>
      <c r="I256" s="144">
        <f>IF(C243&gt;E243,IF(E256&gt;0,E243+(D245*E256),0),IF(E256&gt;0,E243-(D245*E256),0))</f>
        <v>0</v>
      </c>
      <c r="J256" s="329">
        <f>IF(C243&gt;E243,IF(F256&gt;0,E243+(D245*F256),0),IF(F256&gt;0,E243-(D245*F256),0))</f>
        <v>0</v>
      </c>
      <c r="K256" s="146">
        <f>IF(C256&gt;0,IF(G256&lt;K243,K243-G256,G256-K243),0)</f>
        <v>1.6000000000000458E-3</v>
      </c>
      <c r="L256" s="147">
        <f>IF(D256&gt;0,IF(H256&lt;K243,K243-H256,H256-K243),0)</f>
        <v>0</v>
      </c>
      <c r="M256" s="147">
        <f>IF(E256&gt;0,IF(I256&lt;K243,K243-I256,I256-K243),0)</f>
        <v>0</v>
      </c>
      <c r="N256" s="148">
        <f>IF(F256&gt;0,IF(J256&lt;K243,K243-J256,J256-K243),0)</f>
        <v>0</v>
      </c>
      <c r="O256" s="152">
        <f>IF(C256=0,"No Data",G256)</f>
        <v>1.6716</v>
      </c>
      <c r="P256" s="144" t="str">
        <f>IF(D256=0,"No Data",H256)</f>
        <v>No Data</v>
      </c>
      <c r="Q256" s="144" t="str">
        <f t="shared" si="106"/>
        <v>No Data</v>
      </c>
      <c r="R256" s="153" t="str">
        <f>IF(F256=0,"No Data",J256)</f>
        <v>No Data</v>
      </c>
      <c r="S256" s="149">
        <f t="shared" si="108"/>
        <v>1.6716</v>
      </c>
      <c r="T256" s="150">
        <f t="shared" ref="T256:T257" si="110">MIN(O256:R256)</f>
        <v>1.6716</v>
      </c>
      <c r="W256" s="3"/>
      <c r="X256" s="2">
        <v>12</v>
      </c>
      <c r="Y256" s="311" t="s">
        <v>57</v>
      </c>
      <c r="Z256" s="312" t="str">
        <f>CONCATENATE(IF(AND(C243&gt;E243,K243&gt;G243),"[Structure Violation: D passed B] ",""),IF(AND(C243&lt;E243,K243&lt;G243),"[Structure Violation: D passed B] ",""))</f>
        <v xml:space="preserve">[Structure Violation: D passed B] </v>
      </c>
      <c r="AA256" s="381" t="s">
        <v>89</v>
      </c>
      <c r="AB256" s="382"/>
      <c r="AC256" s="382"/>
      <c r="AD256" s="383"/>
    </row>
    <row r="257" spans="1:30" ht="15.75" thickBot="1" x14ac:dyDescent="0.3">
      <c r="A257" s="125" t="s">
        <v>29</v>
      </c>
      <c r="B257" s="331" t="s">
        <v>7</v>
      </c>
      <c r="C257" s="332">
        <v>1</v>
      </c>
      <c r="D257" s="333"/>
      <c r="E257" s="333"/>
      <c r="F257" s="334"/>
      <c r="G257" s="159">
        <f>IF(C243&gt;E243,IF(C257&gt;0,I243+(F245*C257),0),IF(C257&gt;0,I243-(F245*C257),0))</f>
        <v>1.649</v>
      </c>
      <c r="H257" s="160">
        <f>IF(C243&gt;E243,IF(D257&gt;0,I243+(F245*D257),0),IF(D257&gt;0,I243-(F245*D257),0))</f>
        <v>0</v>
      </c>
      <c r="I257" s="160">
        <f>IF(C243&gt;E243,IF(E257&gt;0,I243+(F245*E257),0),IF(E257&gt;0,I243-(F245*E257),0))</f>
        <v>0</v>
      </c>
      <c r="J257" s="160">
        <f>IF(C243&gt;E243,IF(F257&gt;0,I243+(F245*F257),0),IF(F257&gt;0,I243-(F245*F257),0))</f>
        <v>0</v>
      </c>
      <c r="K257" s="162">
        <f>IF(C257&gt;0,IF(G257&lt;K243,K243-G257,G257-K243),0)</f>
        <v>2.0999999999999908E-2</v>
      </c>
      <c r="L257" s="163">
        <f>IF(D257&gt;0,IF(H257&lt;K243,K243-H257,H257-K243),0)</f>
        <v>0</v>
      </c>
      <c r="M257" s="163">
        <f>IF(E257&gt;0,IF(I257&lt;K243,K243-I257,I257-K243),0)</f>
        <v>0</v>
      </c>
      <c r="N257" s="164">
        <f>IF(F257&gt;0,IF(J257&lt;K243,K243-J257,J257-K243),0)</f>
        <v>0</v>
      </c>
      <c r="O257" s="159">
        <f t="shared" ref="O257" si="111">IF(C257=0,"No Data",G257)</f>
        <v>1.649</v>
      </c>
      <c r="P257" s="160" t="str">
        <f t="shared" ref="P257" si="112">IF(D257=0,"No Data",H257)</f>
        <v>No Data</v>
      </c>
      <c r="Q257" s="160" t="str">
        <f t="shared" si="106"/>
        <v>No Data</v>
      </c>
      <c r="R257" s="161" t="str">
        <f t="shared" ref="R257:R261" si="113">IF(F257=0,"No Data",J257)</f>
        <v>No Data</v>
      </c>
      <c r="S257" s="165">
        <f t="shared" si="108"/>
        <v>1.649</v>
      </c>
      <c r="T257" s="166">
        <f t="shared" si="110"/>
        <v>1.649</v>
      </c>
      <c r="W257" s="3"/>
      <c r="X257" s="2">
        <v>13</v>
      </c>
      <c r="Y257" s="311" t="s">
        <v>57</v>
      </c>
      <c r="Z257" s="312" t="str">
        <f>CONCATENATE(IF(AND(C243&gt;E243,G243&lt;C243),"[Structure Violation: B below X] ",""),IF(AND(C243&lt;E243,G243&gt;C243),"[Structure Violation: B above X] ",""))</f>
        <v xml:space="preserve">[Structure Violation: B below X] </v>
      </c>
      <c r="AA257" s="381" t="s">
        <v>90</v>
      </c>
      <c r="AB257" s="382"/>
      <c r="AC257" s="382"/>
      <c r="AD257" s="383"/>
    </row>
    <row r="258" spans="1:30" ht="16.5" thickTop="1" thickBot="1" x14ac:dyDescent="0.3">
      <c r="A258" s="12" t="s">
        <v>47</v>
      </c>
      <c r="B258" s="335" t="s">
        <v>6</v>
      </c>
      <c r="C258" s="336">
        <v>2.6179999999999999</v>
      </c>
      <c r="D258" s="337">
        <v>2.786</v>
      </c>
      <c r="E258" s="337"/>
      <c r="F258" s="338"/>
      <c r="G258" s="339">
        <f>E241*C258</f>
        <v>23.561999999999998</v>
      </c>
      <c r="H258" s="174">
        <f>E241*D258</f>
        <v>25.074000000000002</v>
      </c>
      <c r="I258" s="175">
        <f>E241*E258</f>
        <v>0</v>
      </c>
      <c r="J258" s="176">
        <f>E241*F258</f>
        <v>0</v>
      </c>
      <c r="K258" s="177">
        <f>IF(C258=0,0,IF(K241&gt;G258,K241-G258,G258-K241))</f>
        <v>6.4380000000000024</v>
      </c>
      <c r="L258" s="178">
        <f>IF(D258=0,0,IF(K241&gt;H258,K241-H258,H258-K241))</f>
        <v>4.9259999999999984</v>
      </c>
      <c r="M258" s="178">
        <f>IF(E258=0,0,IF(K241&gt;I258,K241-I258,I258-K241))</f>
        <v>0</v>
      </c>
      <c r="N258" s="179">
        <f>IF(F258=0,0,IF(K241&gt;J258,K241-J258,J258-K241))</f>
        <v>0</v>
      </c>
      <c r="O258" s="339">
        <f>IF(C258=0,"No Data",G258)</f>
        <v>23.561999999999998</v>
      </c>
      <c r="P258" s="174">
        <f>IF(D258=0,"No Data",H258)</f>
        <v>25.074000000000002</v>
      </c>
      <c r="Q258" s="175" t="str">
        <f t="shared" si="106"/>
        <v>No Data</v>
      </c>
      <c r="R258" s="176" t="str">
        <f t="shared" si="113"/>
        <v>No Data</v>
      </c>
      <c r="S258" s="180"/>
      <c r="T258" s="181"/>
      <c r="W258" s="3"/>
      <c r="X258" s="2">
        <v>14</v>
      </c>
      <c r="Y258" s="311" t="s">
        <v>57</v>
      </c>
      <c r="Z258" s="312" t="str">
        <f>CONCATENATE(IF(AND(E243&gt;G243,M243&gt;I243),"[Structure Violation: E passed C] ",""),IF(AND(E243&lt;G243,M243&lt;I243),"[Structure Violation: E passed C] ",""))</f>
        <v xml:space="preserve">[Structure Violation: E passed C] </v>
      </c>
      <c r="AA258" s="381" t="s">
        <v>94</v>
      </c>
      <c r="AB258" s="382"/>
      <c r="AC258" s="382"/>
      <c r="AD258" s="383"/>
    </row>
    <row r="259" spans="1:30" ht="15.75" thickBot="1" x14ac:dyDescent="0.3">
      <c r="A259" s="12" t="s">
        <v>47</v>
      </c>
      <c r="B259" s="340" t="s">
        <v>74</v>
      </c>
      <c r="C259" s="341">
        <v>2</v>
      </c>
      <c r="D259" s="342"/>
      <c r="E259" s="342"/>
      <c r="F259" s="351"/>
      <c r="G259" s="191">
        <f>G241*C259</f>
        <v>32</v>
      </c>
      <c r="H259" s="186">
        <f>G241*D259</f>
        <v>0</v>
      </c>
      <c r="I259" s="186">
        <f>G241*E259</f>
        <v>0</v>
      </c>
      <c r="J259" s="344">
        <f>G241*F259</f>
        <v>0</v>
      </c>
      <c r="K259" s="345">
        <f>IF(C259=0,0,IF(K241&gt;G259,K241-G259,G259-K241))</f>
        <v>2</v>
      </c>
      <c r="L259" s="189">
        <f>IF(D259=0,0,IF(K241&gt;H259,K241-H259,H259-K241))</f>
        <v>0</v>
      </c>
      <c r="M259" s="189">
        <f>IF(E259=0,0,IF(K241&gt;I259,K241-I259,I259-K241))</f>
        <v>0</v>
      </c>
      <c r="N259" s="178">
        <f>IF(F259=0,0,IF(K241&gt;J259,K241-J259,J259-K241))</f>
        <v>0</v>
      </c>
      <c r="O259" s="191">
        <f>IF(C259=0,"No Data",G259)</f>
        <v>32</v>
      </c>
      <c r="P259" s="186" t="str">
        <f t="shared" ref="P259:P261" si="114">IF(D259=0,"No Data",H259)</f>
        <v>No Data</v>
      </c>
      <c r="Q259" s="186" t="str">
        <f t="shared" si="106"/>
        <v>No Data</v>
      </c>
      <c r="R259" s="344" t="str">
        <f t="shared" si="113"/>
        <v>No Data</v>
      </c>
      <c r="S259" s="195"/>
      <c r="T259" s="196"/>
      <c r="W259" s="3"/>
      <c r="X259" s="2">
        <v>15</v>
      </c>
      <c r="Y259" s="311" t="s">
        <v>57</v>
      </c>
      <c r="Z259" s="317"/>
      <c r="AA259" s="346"/>
      <c r="AB259" s="347"/>
      <c r="AC259" s="347"/>
      <c r="AD259" s="348"/>
    </row>
    <row r="260" spans="1:30" ht="15.75" thickBot="1" x14ac:dyDescent="0.3">
      <c r="A260" s="12" t="s">
        <v>46</v>
      </c>
      <c r="B260" s="139" t="s">
        <v>6</v>
      </c>
      <c r="C260" s="349">
        <v>1.6180000000000001</v>
      </c>
      <c r="D260" s="350">
        <v>1.786</v>
      </c>
      <c r="E260" s="350"/>
      <c r="F260" s="343"/>
      <c r="G260" s="201">
        <f>E241*C260</f>
        <v>14.562000000000001</v>
      </c>
      <c r="H260" s="202">
        <f>E241*D260</f>
        <v>16.074000000000002</v>
      </c>
      <c r="I260" s="202">
        <f>E241*E260</f>
        <v>0</v>
      </c>
      <c r="J260" s="203">
        <f>E241*F260</f>
        <v>0</v>
      </c>
      <c r="K260" s="204">
        <f>IF(C260=0,0,IF(G241&gt;G260,G241-G260,G260-G241))</f>
        <v>1.4379999999999988</v>
      </c>
      <c r="L260" s="205">
        <f>IF(D260=0,0,IF(G241&gt;H260,G241-H260,H260-G241))</f>
        <v>7.400000000000162E-2</v>
      </c>
      <c r="M260" s="205">
        <f>IF(E260=0,0,IF(G241&gt;I260,G241-I260,I260-G241))</f>
        <v>0</v>
      </c>
      <c r="N260" s="206">
        <f>IF(F260=0,0,IF(G241&gt;J260,G241-J260,J260-G241))</f>
        <v>0</v>
      </c>
      <c r="O260" s="201">
        <f t="shared" ref="O260:O261" si="115">IF(C260=0,"No Data",G260)</f>
        <v>14.562000000000001</v>
      </c>
      <c r="P260" s="202">
        <f t="shared" si="114"/>
        <v>16.074000000000002</v>
      </c>
      <c r="Q260" s="202" t="str">
        <f t="shared" si="106"/>
        <v>No Data</v>
      </c>
      <c r="R260" s="203" t="str">
        <f t="shared" si="113"/>
        <v>No Data</v>
      </c>
      <c r="S260" s="207"/>
      <c r="T260" s="208"/>
      <c r="W260" s="3"/>
    </row>
    <row r="261" spans="1:30" ht="15.75" thickBot="1" x14ac:dyDescent="0.3">
      <c r="A261" s="12" t="s">
        <v>66</v>
      </c>
      <c r="B261" s="354" t="s">
        <v>6</v>
      </c>
      <c r="C261" s="355"/>
      <c r="D261" s="356"/>
      <c r="E261" s="356"/>
      <c r="F261" s="357"/>
      <c r="G261" s="213">
        <f>E241*C261</f>
        <v>0</v>
      </c>
      <c r="H261" s="214">
        <f>E241*D261</f>
        <v>0</v>
      </c>
      <c r="I261" s="214">
        <f>E241*E261</f>
        <v>0</v>
      </c>
      <c r="J261" s="215">
        <f>E241*F261</f>
        <v>0</v>
      </c>
      <c r="K261" s="216">
        <f>IF(C261=0,0,IF(I241&gt;G261,I241-G261,G261-I241))</f>
        <v>0</v>
      </c>
      <c r="L261" s="217">
        <f>IF(D261=0,0,IF(I241&gt;H261,I241-H261,H261-I241))</f>
        <v>0</v>
      </c>
      <c r="M261" s="217">
        <f>IF(E261=0,0,IF(I241&gt;I261,I241-I261,I261-I241))</f>
        <v>0</v>
      </c>
      <c r="N261" s="218">
        <f>IF(F261=0,0,IF(I241&gt;J261,I241-J261,J261-I241))</f>
        <v>0</v>
      </c>
      <c r="O261" s="213" t="str">
        <f t="shared" si="115"/>
        <v>No Data</v>
      </c>
      <c r="P261" s="214" t="str">
        <f t="shared" si="114"/>
        <v>No Data</v>
      </c>
      <c r="Q261" s="214" t="str">
        <f t="shared" si="106"/>
        <v>No Data</v>
      </c>
      <c r="R261" s="215" t="str">
        <f t="shared" si="113"/>
        <v>No Data</v>
      </c>
      <c r="S261" s="219"/>
      <c r="T261" s="220"/>
      <c r="W261" s="3"/>
    </row>
    <row r="262" spans="1:30" ht="15.75" thickBot="1" x14ac:dyDescent="0.3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226"/>
      <c r="W262" s="3"/>
    </row>
    <row r="263" spans="1:30" ht="15.75" thickBot="1" x14ac:dyDescent="0.3">
      <c r="A263" s="76"/>
      <c r="C263" s="365" t="s">
        <v>53</v>
      </c>
      <c r="D263" s="366"/>
      <c r="E263" s="366"/>
      <c r="F263" s="367"/>
      <c r="G263" s="365" t="s">
        <v>68</v>
      </c>
      <c r="H263" s="366"/>
      <c r="I263" s="367"/>
      <c r="K263" s="223"/>
      <c r="L263" s="224"/>
      <c r="M263" s="224"/>
      <c r="N263" s="224"/>
      <c r="O263" s="224"/>
      <c r="P263" s="225"/>
      <c r="Q263" s="226"/>
      <c r="R263" s="226"/>
      <c r="S263" s="227"/>
      <c r="T263" s="226"/>
      <c r="U263" s="76"/>
      <c r="W263" s="3"/>
    </row>
    <row r="264" spans="1:30" ht="15.75" thickBot="1" x14ac:dyDescent="0.3">
      <c r="A264" s="115" t="s">
        <v>10</v>
      </c>
      <c r="B264" s="116" t="s">
        <v>51</v>
      </c>
      <c r="C264" s="228">
        <v>1</v>
      </c>
      <c r="D264" s="228">
        <v>2</v>
      </c>
      <c r="E264" s="228">
        <v>3</v>
      </c>
      <c r="F264" s="228">
        <v>4</v>
      </c>
      <c r="G264" s="229" t="s">
        <v>69</v>
      </c>
      <c r="H264" s="230" t="s">
        <v>35</v>
      </c>
      <c r="I264" s="230" t="s">
        <v>55</v>
      </c>
      <c r="K264" s="452" t="s">
        <v>134</v>
      </c>
      <c r="L264" s="453"/>
      <c r="M264" s="452" t="s">
        <v>135</v>
      </c>
      <c r="N264" s="453"/>
      <c r="O264" s="452" t="s">
        <v>136</v>
      </c>
      <c r="P264" s="453"/>
      <c r="W264" s="3"/>
    </row>
    <row r="265" spans="1:30" ht="15.75" customHeight="1" thickBot="1" x14ac:dyDescent="0.3">
      <c r="A265" s="125" t="s">
        <v>11</v>
      </c>
      <c r="B265" s="320" t="s">
        <v>6</v>
      </c>
      <c r="C265" s="231">
        <f>IF(C253=0,"No Data",K253/(F246/100))</f>
        <v>61.431064572425825</v>
      </c>
      <c r="D265" s="232">
        <f>IF(D253=0,"No Data",L253/(F247/100))</f>
        <v>0.2157497303128133</v>
      </c>
      <c r="E265" s="233" t="str">
        <f>IF(E253=0,"No Data",M253/(F248/100))</f>
        <v>No Data</v>
      </c>
      <c r="F265" s="232" t="str">
        <f>IF(F253=0,"No Data",N253/(F249/100))</f>
        <v>No Data</v>
      </c>
      <c r="G265" s="234" t="str">
        <f>IF(COUNT(O253:R253)=1,"1Fib",IF(COUNT(O253:R253)&lt;2,"No Data",IF(AND(S253&gt;G243,G243&gt;T253),"Yes","No")))</f>
        <v>Yes</v>
      </c>
      <c r="H265" s="235">
        <f>IF(COUNTBLANK(C253:F253)=4,"No Data",MIN(C265:F265))</f>
        <v>0.2157497303128133</v>
      </c>
      <c r="I265" s="236"/>
      <c r="K265" s="238" t="str">
        <f>CONCATENATE(IF(L265=1,IF(OR(AND(G265="1Fib",H265&lt;$Z$51),AND(G265="Yes",H265&lt;$Z$51),AND(G265="No",H265&lt;$Z$51)),"Valid","Invalid"),""),IF(L265=2,IF(OR(AND(G265="1Fib",H265&lt;$Z$51),AND(G265="Yes",H265&lt;$Z$51),AND(G265="Yes",H265&gt;$Z$51)),"Valid","Invalid"),""),IF(L265=3,IF(OR(AND(G265="1Fib",H265&lt;$Z$51),AND(G265="Yes",H265&lt;$Z$51),AND(G265="Yes",H265&gt;$Z$51),AND(G265="No",H265&lt;$Z$51)),"Valid","Invalid"),""))</f>
        <v>Valid</v>
      </c>
      <c r="L265" s="342">
        <v>3</v>
      </c>
      <c r="M265" s="238" t="str">
        <f>CONCATENATE(IF(N265=1,IF(OR(AND(G265="1Fib",H265&lt;$Z$51),AND(G265="Yes",H265&lt;$Z$51),AND(G265="No",H265&lt;$Z$51)),"Valid","Invalid"),""),IF(N265=2,IF(OR(AND(G265="1Fib",H265&lt;$Z$51),AND(G265="Yes",H265&lt;$Z$51),AND(G265="Yes",H265&gt;$Z$51)),"Valid","Invalid"),""),IF(N265=3,IF(OR(AND(G265="1Fib",H265&lt;$Z$51),AND(G265="Yes",H265&lt;$Z$51),AND(G265="Yes",H265&gt;$Z$51),AND(G265="No",H265&lt;$Z$51)),"Valid","Invalid"),""))</f>
        <v>Valid</v>
      </c>
      <c r="N265" s="342">
        <v>1</v>
      </c>
      <c r="O265" s="238" t="str">
        <f>CONCATENATE(IF(P265=1,IF(OR(AND(G265="1Fib",H265&lt;$Z$51),AND(G265="Yes",H265&lt;$Z$51),AND(G265="No",H265&lt;$Z$51)),"Valid","Invalid"),""),IF(P265=2,IF(OR(AND(G265="1Fib",H265&lt;$Z$51),AND(G265="Yes",H265&lt;$Z$51),AND(G265="Yes",H265&gt;$Z$51)),"Valid","Invalid"),""),IF(P265=3,IF(OR(AND(G265="1Fib",H265&lt;$Z$51),AND(G265="Yes",H265&lt;$Z$51),AND(G265="Yes",H265&gt;$Z$51),AND(G265="No",H265&lt;$Z$51)),"Valid","Invalid"),""))</f>
        <v>Valid</v>
      </c>
      <c r="P265" s="342">
        <v>3</v>
      </c>
      <c r="Q265" s="242" t="s">
        <v>106</v>
      </c>
      <c r="R265" s="243">
        <f>IF(Z270="Y",I267,MAX(H265, H266, I267))</f>
        <v>44.378607744944382</v>
      </c>
      <c r="S265" s="372" t="str">
        <f>IF(R271="","Structure approved","Structure fault!")</f>
        <v>Structure fault!</v>
      </c>
      <c r="T265" s="373"/>
      <c r="U265" s="374"/>
      <c r="W265" s="3"/>
      <c r="Y265" s="226"/>
      <c r="Z265" s="418" t="s">
        <v>45</v>
      </c>
      <c r="AA265" s="419"/>
      <c r="AB265" s="420"/>
      <c r="AC265" s="226"/>
    </row>
    <row r="266" spans="1:30" ht="15.75" customHeight="1" thickBot="1" x14ac:dyDescent="0.3">
      <c r="A266" s="125" t="s">
        <v>12</v>
      </c>
      <c r="B266" s="324" t="s">
        <v>7</v>
      </c>
      <c r="C266" s="244">
        <f>IF(C254=0,"No Data",K254/(H246/100))</f>
        <v>44.378607744944382</v>
      </c>
      <c r="D266" s="245">
        <f>IF(D254=0,"No Data",L254/(H247/100))</f>
        <v>63.248295023995951</v>
      </c>
      <c r="E266" s="246" t="str">
        <f>IF(E254=0,"No Data",M254/(H248/100))</f>
        <v>No Data</v>
      </c>
      <c r="F266" s="245" t="str">
        <f>IF(F254=0,"No Data",N254/(H249/100))</f>
        <v>No Data</v>
      </c>
      <c r="G266" s="247" t="str">
        <f>IF(COUNT(O254:R254)=1,"1Fib",IF(COUNT(O254:R254)&lt;2,"No Data",IF(AND(S254&gt;I243,I243&gt;T254),"Yes","No")))</f>
        <v>No</v>
      </c>
      <c r="H266" s="270">
        <f>IF(COUNTBLANK(C254:F254)=4,"No Data",MIN(C266:F266))</f>
        <v>44.378607744944382</v>
      </c>
      <c r="I266" s="248"/>
      <c r="K266" s="249" t="str">
        <f>CONCATENATE(IF(L266=1,IF(OR(AND(G266="1Fib",H266&lt;$Z$51),AND(G266="Yes",H266&lt;$Z$51),AND(G266="No",H266&lt;$Z$51)),"Valid","Invalid"),""),IF(L266=2,IF(OR(AND(G266="1Fib",H266&lt;$Z$51),AND(G266="Yes",H266&lt;$Z$51),AND(G266="Yes",H266&gt;$Z$51)),"Valid","Invalid"),""),IF(L266=3,IF(OR(AND(G266="1Fib",H266&lt;$Z$51),AND(G266="Yes",H266&lt;$Z$51),AND(G266="Yes",H266&gt;$Z$51),AND(G266="No",H266&lt;$Z$51)),"Valid","Invalid"),""))</f>
        <v>Invalid</v>
      </c>
      <c r="L266" s="342">
        <v>1</v>
      </c>
      <c r="M266" s="249" t="str">
        <f>CONCATENATE(IF(N266=1,IF(OR(AND(G266="1Fib",H266&lt;$Z$51),AND(G266="Yes",H266&lt;$Z$51),AND(G266="No",H266&lt;$Z$51)),"Valid","Invalid"),""),IF(N266=2,IF(OR(AND(G266="1Fib",H266&lt;$Z$51),AND(G266="Yes",H266&lt;$Z$51),AND(G266="Yes",H266&gt;$Z$51)),"Valid","Invalid"),""),IF(N266=3,IF(OR(AND(G266="1Fib",H266&lt;$Z$51),AND(G266="Yes",H266&lt;$Z$51),AND(G266="Yes",H266&gt;$Z$51),AND(G266="No",H266&lt;$Z$51)),"Valid","Invalid"),""))</f>
        <v>Invalid</v>
      </c>
      <c r="N266" s="342">
        <v>1</v>
      </c>
      <c r="O266" s="249" t="str">
        <f>CONCATENATE(IF(P266=1,IF(OR(AND(G266="1Fib",H266&lt;$Z$51),AND(G266="Yes",H266&lt;$Z$51),AND(G266="No",H266&lt;$Z$51)),"Valid","Invalid"),""),IF(P266=2,IF(OR(AND(G266="1Fib",H266&lt;$Z$51),AND(G266="Yes",H266&lt;$Z$51),AND(G266="Yes",H266&gt;$Z$51)),"Valid","Invalid"),""),IF(P266=3,IF(OR(AND(G266="1Fib",H266&lt;$Z$51),AND(G266="Yes",H266&lt;$Z$51),AND(G266="Yes",H266&gt;$Z$51),AND(G266="No",H266&lt;$Z$51)),"Valid","Invalid"),""))</f>
        <v>Invalid</v>
      </c>
      <c r="P266" s="342">
        <v>3</v>
      </c>
      <c r="Q266" s="250" t="s">
        <v>107</v>
      </c>
      <c r="R266" s="243">
        <f>IF(Z270="Y",I270,MAX(H273,H272,I270))</f>
        <v>6.25</v>
      </c>
      <c r="S266" s="375"/>
      <c r="T266" s="376"/>
      <c r="U266" s="377"/>
      <c r="W266" s="3"/>
      <c r="Y266" s="2"/>
      <c r="Z266" s="95" t="s">
        <v>43</v>
      </c>
      <c r="AB266" s="95" t="s">
        <v>44</v>
      </c>
    </row>
    <row r="267" spans="1:30" ht="15.75" customHeight="1" thickBot="1" x14ac:dyDescent="0.3">
      <c r="A267" s="125" t="s">
        <v>13</v>
      </c>
      <c r="B267" s="324" t="s">
        <v>8</v>
      </c>
      <c r="C267" s="251">
        <f>IF(C255=0,"No Data",K255/(J246/100))</f>
        <v>19.117252808851809</v>
      </c>
      <c r="D267" s="252">
        <f>IF(D255=0,"No Data",L255/(J247/100))</f>
        <v>32.817869415807593</v>
      </c>
      <c r="E267" s="253" t="str">
        <f>IF(E255=0,"No Data",M255/(J248/100))</f>
        <v>No Data</v>
      </c>
      <c r="F267" s="252" t="str">
        <f>IF(F255=0,"No Data",N255/(J249/100))</f>
        <v>No Data</v>
      </c>
      <c r="G267" s="247" t="str">
        <f>IF(COUNT(O255:R255)=1,"1Fib",IF(COUNT(O255:R255)&lt;2,"No Data",IF(AND(S255&gt;K243,K243&gt;T255),"Yes","No")))</f>
        <v>Yes</v>
      </c>
      <c r="H267" s="270">
        <f>IF(COUNTBLANK(C255:F255)=4,"No Data",MIN(C267:F267))</f>
        <v>19.117252808851809</v>
      </c>
      <c r="I267" s="254">
        <f>MIN(C267:F269)</f>
        <v>0.33927056827821156</v>
      </c>
      <c r="J267" s="2" t="s">
        <v>32</v>
      </c>
      <c r="K267" s="249" t="str">
        <f t="shared" ref="K267:K269" si="116">CONCATENATE(IF(L267=1,IF(OR(AND(G267="1Fib",H267&lt;$Z$51),AND(G267="Yes",H267&lt;$Z$51),AND(G267="No",H267&lt;$Z$51)),"Valid","Invalid"),""),IF(L267=2,IF(OR(AND(G267="1Fib",H267&lt;$Z$51),AND(G267="Yes",H267&lt;$Z$51),AND(G267="Yes",H267&gt;$Z$51)),"Valid","Invalid"),""),IF(L267=3,IF(OR(AND(G267="1Fib",H267&lt;$Z$51),AND(G267="Yes",H267&lt;$Z$51),AND(G267="Yes",H267&gt;$Z$51),AND(G267="No",H267&lt;$Z$51)),"Valid","Invalid"),""))</f>
        <v>Valid</v>
      </c>
      <c r="L267" s="342">
        <v>2</v>
      </c>
      <c r="M267" s="249" t="str">
        <f t="shared" ref="M267:M269" si="117">CONCATENATE(IF(N267=1,IF(OR(AND(G267="1Fib",H267&lt;$Z$51),AND(G267="Yes",H267&lt;$Z$51),AND(G267="No",H267&lt;$Z$51)),"Valid","Invalid"),""),IF(N267=2,IF(OR(AND(G267="1Fib",H267&lt;$Z$51),AND(G267="Yes",H267&lt;$Z$51),AND(G267="Yes",H267&gt;$Z$51)),"Valid","Invalid"),""),IF(N267=3,IF(OR(AND(G267="1Fib",H267&lt;$Z$51),AND(G267="Yes",H267&lt;$Z$51),AND(G267="Yes",H267&gt;$Z$51),AND(G267="No",H267&lt;$Z$51)),"Valid","Invalid"),""))</f>
        <v>Invalid</v>
      </c>
      <c r="N267" s="342">
        <v>1</v>
      </c>
      <c r="O267" s="249" t="str">
        <f t="shared" ref="O267:O269" si="118">CONCATENATE(IF(P267=1,IF(OR(AND(G267="1Fib",H267&lt;$Z$51),AND(G267="Yes",H267&lt;$Z$51),AND(G267="No",H267&lt;$Z$51)),"Valid","Invalid"),""),IF(P267=2,IF(OR(AND(G267="1Fib",H267&lt;$Z$51),AND(G267="Yes",H267&lt;$Z$51),AND(G267="Yes",H267&gt;$Z$51)),"Valid","Invalid"),""),IF(P267=3,IF(OR(AND(G267="1Fib",H267&lt;$Z$51),AND(G267="Yes",H267&lt;$Z$51),AND(G267="Yes",H267&gt;$Z$51),AND(G267="No",H267&lt;$Z$51)),"Valid","Invalid"),""))</f>
        <v>Valid</v>
      </c>
      <c r="P267" s="342">
        <v>3</v>
      </c>
      <c r="Q267" s="242" t="s">
        <v>108</v>
      </c>
      <c r="R267" s="243">
        <f>IF(Z270="Y",MAX(H267:H269),MAX(H265,H266,I267,I270,H272,H273))</f>
        <v>44.378607744944382</v>
      </c>
      <c r="S267" s="375"/>
      <c r="T267" s="376"/>
      <c r="U267" s="377"/>
      <c r="W267" s="3"/>
      <c r="Y267" s="255" t="s">
        <v>28</v>
      </c>
      <c r="Z267" s="256">
        <f>Z231</f>
        <v>8</v>
      </c>
      <c r="AA267" s="2" t="s">
        <v>15</v>
      </c>
      <c r="AB267" s="256">
        <f>AB231</f>
        <v>10</v>
      </c>
      <c r="AC267" s="2" t="s">
        <v>15</v>
      </c>
    </row>
    <row r="268" spans="1:30" ht="15.75" customHeight="1" thickBot="1" x14ac:dyDescent="0.3">
      <c r="A268" s="125" t="s">
        <v>14</v>
      </c>
      <c r="B268" s="324" t="s">
        <v>6</v>
      </c>
      <c r="C268" s="251">
        <f>IF(C256=0,"No Data",K256/(L246/100))</f>
        <v>0.33927056827821156</v>
      </c>
      <c r="D268" s="252" t="str">
        <f>IF(D256=0,"No Data",L256/(L247/100))</f>
        <v>No Data</v>
      </c>
      <c r="E268" s="253" t="str">
        <f>IF(E256=0,"No Data",M256/(L248/100))</f>
        <v>No Data</v>
      </c>
      <c r="F268" s="252" t="str">
        <f>IF(F256=0,"No Data",N256/(L249/100))</f>
        <v>No Data</v>
      </c>
      <c r="G268" s="247" t="str">
        <f>IF(COUNT(O256:R256)=1,"1Fib",IF(COUNT(O256:R256)&lt;2,"No Data",IF(AND(S256&gt;K243,K243&gt;T256),"Yes","No")))</f>
        <v>1Fib</v>
      </c>
      <c r="H268" s="270">
        <f>IF(COUNTBLANK(C256:F256)=4,"No Data",MIN(C268:F268))</f>
        <v>0.33927056827821156</v>
      </c>
      <c r="I268" s="257">
        <f>MAX(O255:R257)-MIN(O255:R257)</f>
        <v>0.2537520000000002</v>
      </c>
      <c r="J268" s="2" t="s">
        <v>40</v>
      </c>
      <c r="K268" s="249" t="str">
        <f t="shared" si="116"/>
        <v>Valid</v>
      </c>
      <c r="L268" s="342">
        <v>3</v>
      </c>
      <c r="M268" s="249" t="str">
        <f t="shared" si="117"/>
        <v>Valid</v>
      </c>
      <c r="N268" s="342">
        <v>1</v>
      </c>
      <c r="O268" s="249" t="str">
        <f t="shared" si="118"/>
        <v>Valid</v>
      </c>
      <c r="P268" s="342">
        <v>3</v>
      </c>
      <c r="Q268" s="242" t="s">
        <v>54</v>
      </c>
      <c r="R268" s="258">
        <f>SUM(H265,H266,I267)/COUNT(H265,H266,I267)</f>
        <v>14.977876014511802</v>
      </c>
      <c r="S268" s="375"/>
      <c r="T268" s="376"/>
      <c r="U268" s="377"/>
      <c r="W268" s="3"/>
      <c r="Y268" s="95"/>
      <c r="Z268" s="2"/>
      <c r="AA268" s="95"/>
      <c r="AB268" s="95"/>
      <c r="AC268" s="259"/>
    </row>
    <row r="269" spans="1:30" ht="15.75" customHeight="1" thickBot="1" x14ac:dyDescent="0.3">
      <c r="A269" s="125" t="s">
        <v>29</v>
      </c>
      <c r="B269" s="331" t="s">
        <v>7</v>
      </c>
      <c r="C269" s="260">
        <f>IF(C257=0,"No Data",K257/(N246/100))</f>
        <v>5.6756756756756488</v>
      </c>
      <c r="D269" s="261" t="str">
        <f>IF(D257=0,"No Data",L257/(N247/100))</f>
        <v>No Data</v>
      </c>
      <c r="E269" s="262" t="str">
        <f>IF(E257=0,"No Data",M257/(N248/100))</f>
        <v>No Data</v>
      </c>
      <c r="F269" s="261" t="str">
        <f>IF(F257=0,"No Data",N257/(N249/100))</f>
        <v>No Data</v>
      </c>
      <c r="G269" s="263" t="str">
        <f>IF(COUNT(O257:R257)=1,"1Fib",IF(COUNT(O257:R257)&lt;2,"No Data",IF(AND(S257&gt;K243,K243&gt;T257),"Yes","No")))</f>
        <v>1Fib</v>
      </c>
      <c r="H269" s="264">
        <f>IF(COUNTBLANK(C257:F257)=4,"No Data",MIN(C269:F269))</f>
        <v>5.6756756756756488</v>
      </c>
      <c r="I269" s="265">
        <f>COUNT(C267:F269)</f>
        <v>4</v>
      </c>
      <c r="J269" s="2" t="s">
        <v>41</v>
      </c>
      <c r="K269" s="249" t="str">
        <f t="shared" si="116"/>
        <v>Valid</v>
      </c>
      <c r="L269" s="342">
        <v>2</v>
      </c>
      <c r="M269" s="249" t="str">
        <f t="shared" si="117"/>
        <v>Valid</v>
      </c>
      <c r="N269" s="342">
        <v>1</v>
      </c>
      <c r="O269" s="249" t="str">
        <f t="shared" si="118"/>
        <v>Valid</v>
      </c>
      <c r="P269" s="342">
        <v>3</v>
      </c>
      <c r="Q269" s="250" t="s">
        <v>48</v>
      </c>
      <c r="R269" s="243">
        <f>SUM(I270,H272,H273)/COUNT(I270,H272,H273)</f>
        <v>2.2367902617062785</v>
      </c>
      <c r="S269" s="375"/>
      <c r="T269" s="376"/>
      <c r="U269" s="377"/>
      <c r="W269" s="3"/>
      <c r="Y269" s="2"/>
      <c r="Z269" s="95" t="s">
        <v>38</v>
      </c>
      <c r="AB269" s="95"/>
      <c r="AC269" s="310"/>
    </row>
    <row r="270" spans="1:30" ht="16.5" customHeight="1" thickTop="1" thickBot="1" x14ac:dyDescent="0.3">
      <c r="A270" s="12" t="s">
        <v>47</v>
      </c>
      <c r="B270" s="335" t="s">
        <v>6</v>
      </c>
      <c r="C270" s="268">
        <f>IF(C258=0,"No Data",K258/(G258/100))</f>
        <v>27.323656735421455</v>
      </c>
      <c r="D270" s="268">
        <f t="shared" ref="D270:D273" si="119">IF(D258=0,"No Data",L258/(H258/100))</f>
        <v>19.645848289064361</v>
      </c>
      <c r="E270" s="268" t="str">
        <f t="shared" ref="E270:E273" si="120">IF(E258=0,"No Data",M258/(I258/100))</f>
        <v>No Data</v>
      </c>
      <c r="F270" s="268" t="str">
        <f t="shared" ref="F270:F273" si="121">IF(F258=0,"No Data",N258/(J258/100))</f>
        <v>No Data</v>
      </c>
      <c r="G270" s="269"/>
      <c r="H270" s="270">
        <f>IF(COUNTIF(C258:F258,0)=4,"No Data",MIN(C270:F270))</f>
        <v>19.645848289064361</v>
      </c>
      <c r="I270" s="254">
        <f>MIN(C270:F271)</f>
        <v>6.25</v>
      </c>
      <c r="K270" s="363">
        <f>COUNTIFS(G265:K269,"Valid")</f>
        <v>4</v>
      </c>
      <c r="M270" s="363">
        <f>COUNTIFS(M265:M269,"Valid")</f>
        <v>3</v>
      </c>
      <c r="O270" s="363">
        <f>COUNTIFS(O265:O269,"Valid")</f>
        <v>4</v>
      </c>
      <c r="Q270" s="250" t="s">
        <v>56</v>
      </c>
      <c r="R270" s="243">
        <f>SUM(H265,H266,I267,I270,H272,H273)/COUNT(H265,H266,I267,I270,H272,H273)</f>
        <v>8.6073331381090394</v>
      </c>
      <c r="S270" s="378"/>
      <c r="T270" s="379"/>
      <c r="U270" s="380"/>
      <c r="W270" s="3"/>
      <c r="Y270" s="255" t="s">
        <v>36</v>
      </c>
      <c r="Z270" s="256" t="s">
        <v>57</v>
      </c>
      <c r="AA270" s="255"/>
      <c r="AB270" s="256"/>
      <c r="AC270" s="272"/>
    </row>
    <row r="271" spans="1:30" ht="15.75" customHeight="1" thickBot="1" x14ac:dyDescent="0.3">
      <c r="A271" s="12" t="s">
        <v>47</v>
      </c>
      <c r="B271" s="340" t="s">
        <v>74</v>
      </c>
      <c r="C271" s="273">
        <f t="shared" ref="C271:C273" si="122">IF(C259=0,"No Data",K259/(G259/100))</f>
        <v>6.25</v>
      </c>
      <c r="D271" s="273" t="str">
        <f t="shared" si="119"/>
        <v>No Data</v>
      </c>
      <c r="E271" s="273" t="str">
        <f t="shared" si="120"/>
        <v>No Data</v>
      </c>
      <c r="F271" s="273" t="str">
        <f t="shared" si="121"/>
        <v>No Data</v>
      </c>
      <c r="G271" s="269"/>
      <c r="H271" s="235">
        <f>IF(COUNTIF(C259:F259,0)=4,"No Data",MIN(C271:F271))</f>
        <v>6.25</v>
      </c>
      <c r="I271" s="235"/>
      <c r="K271" s="439" t="s">
        <v>116</v>
      </c>
      <c r="L271" s="439"/>
      <c r="M271" s="439"/>
      <c r="N271" s="439"/>
      <c r="O271" s="439"/>
      <c r="P271" s="439"/>
      <c r="Q271" s="274"/>
      <c r="R271" s="397" t="str">
        <f>CONCATENATE(IF(Y245="Y",Z245,""),IF(Y246="Y",Z246,""),IF(Y247="Y",Z247,""),IF(Y248="Y",Z248,""),IF(Y249="Y",Z249,""),IF(Y250="Y",Z250,""),IF(Y251="Y",Z251,""),IF(Y252="Y",Z252,""),IF(Y253="Y",Z253,""),IF(Y254="Y",Z254,""),IF(Y255="Y",Z255,""),IF(Y256="Y",Z256,""),IF(Y257="Y",Z257,""),IF(Y258="Y",Z258,""),IF(Y259="Y",Z259,""))</f>
        <v xml:space="preserve">[Weak Structure: More than 8 % Price deviation][Structure Violation: C above A] </v>
      </c>
      <c r="S271" s="398"/>
      <c r="T271" s="398"/>
      <c r="U271" s="399"/>
      <c r="W271" s="3"/>
      <c r="Y271" s="2"/>
      <c r="Z271" s="2"/>
      <c r="AC271" s="259"/>
    </row>
    <row r="272" spans="1:30" ht="15.75" thickBot="1" x14ac:dyDescent="0.3">
      <c r="A272" s="12" t="s">
        <v>46</v>
      </c>
      <c r="B272" s="139" t="s">
        <v>6</v>
      </c>
      <c r="C272" s="273">
        <f t="shared" si="122"/>
        <v>9.8750171679714249</v>
      </c>
      <c r="D272" s="273">
        <f t="shared" si="119"/>
        <v>0.46037078511883545</v>
      </c>
      <c r="E272" s="273" t="str">
        <f t="shared" si="120"/>
        <v>No Data</v>
      </c>
      <c r="F272" s="273" t="str">
        <f t="shared" si="121"/>
        <v>No Data</v>
      </c>
      <c r="G272" s="275"/>
      <c r="H272" s="235">
        <f>IF(COUNTIF(C260:F260,0)=4,"No Data",MIN(C272:F272))</f>
        <v>0.46037078511883545</v>
      </c>
      <c r="I272" s="235"/>
      <c r="K272" s="440" t="s">
        <v>126</v>
      </c>
      <c r="L272" s="440"/>
      <c r="M272" s="440"/>
      <c r="N272" s="440"/>
      <c r="O272" s="440"/>
      <c r="P272" s="440"/>
      <c r="Q272" s="276" t="s">
        <v>34</v>
      </c>
      <c r="R272" s="400"/>
      <c r="S272" s="401"/>
      <c r="T272" s="401"/>
      <c r="U272" s="402"/>
      <c r="W272" s="3"/>
      <c r="Y272" s="2"/>
      <c r="Z272" s="2"/>
      <c r="AC272" s="259"/>
    </row>
    <row r="273" spans="1:30" ht="15.75" thickBot="1" x14ac:dyDescent="0.3">
      <c r="A273" s="12" t="s">
        <v>66</v>
      </c>
      <c r="B273" s="354" t="s">
        <v>6</v>
      </c>
      <c r="C273" s="277" t="str">
        <f t="shared" si="122"/>
        <v>No Data</v>
      </c>
      <c r="D273" s="277" t="str">
        <f t="shared" si="119"/>
        <v>No Data</v>
      </c>
      <c r="E273" s="277" t="str">
        <f t="shared" si="120"/>
        <v>No Data</v>
      </c>
      <c r="F273" s="277" t="str">
        <f t="shared" si="121"/>
        <v>No Data</v>
      </c>
      <c r="G273" s="278"/>
      <c r="H273" s="235">
        <f>IF(COUNTIF(C261:F261,0)=4,"No Data",MIN(C273:F273))</f>
        <v>0</v>
      </c>
      <c r="I273" s="235"/>
      <c r="K273" s="440" t="s">
        <v>127</v>
      </c>
      <c r="L273" s="440"/>
      <c r="M273" s="440"/>
      <c r="N273" s="440"/>
      <c r="O273" s="440"/>
      <c r="P273" s="440"/>
      <c r="Q273" s="250"/>
      <c r="R273" s="403"/>
      <c r="S273" s="404"/>
      <c r="T273" s="404"/>
      <c r="U273" s="405"/>
      <c r="W273" s="3"/>
      <c r="Y273" s="2"/>
      <c r="Z273" s="256"/>
      <c r="AA273" s="255"/>
      <c r="AB273" s="256"/>
      <c r="AC273" s="259"/>
    </row>
    <row r="274" spans="1:30" x14ac:dyDescent="0.25">
      <c r="I274" s="279"/>
      <c r="J274" s="281"/>
      <c r="K274" s="283"/>
      <c r="L274" s="283"/>
      <c r="M274" s="284"/>
      <c r="N274" s="285"/>
      <c r="O274" s="283"/>
      <c r="P274" s="283"/>
      <c r="W274" s="3"/>
    </row>
    <row r="275" spans="1:30" s="292" customFormat="1" ht="27.75" customHeight="1" x14ac:dyDescent="0.25">
      <c r="A275" s="3"/>
      <c r="B275" s="3"/>
      <c r="C275" s="3"/>
      <c r="D275" s="289"/>
      <c r="E275" s="290"/>
      <c r="F275" s="290"/>
      <c r="G275" s="290"/>
      <c r="M275" s="290"/>
      <c r="N275" s="290"/>
      <c r="O275" s="3"/>
      <c r="P275" s="293"/>
      <c r="Q275" s="294"/>
      <c r="R275" s="295"/>
      <c r="S275" s="295"/>
      <c r="T275" s="3"/>
      <c r="W275" s="3"/>
      <c r="Y275" s="296"/>
      <c r="Z275" s="297"/>
    </row>
    <row r="276" spans="1:30" ht="15.75" thickBot="1" x14ac:dyDescent="0.3">
      <c r="A276" s="78"/>
      <c r="B276" s="78"/>
      <c r="C276" s="78"/>
      <c r="D276" s="298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  <c r="O276" s="78"/>
      <c r="P276" s="78"/>
      <c r="Q276" s="78"/>
      <c r="R276" s="78"/>
      <c r="S276" s="78"/>
      <c r="W276" s="3"/>
    </row>
    <row r="277" spans="1:30" s="89" customFormat="1" ht="15.75" customHeight="1" thickBot="1" x14ac:dyDescent="0.3">
      <c r="A277" s="82"/>
      <c r="B277" s="299" t="s">
        <v>95</v>
      </c>
      <c r="C277" s="425">
        <f>C241</f>
        <v>0</v>
      </c>
      <c r="D277" s="426"/>
      <c r="E277" s="425">
        <f>E241</f>
        <v>9</v>
      </c>
      <c r="F277" s="426"/>
      <c r="G277" s="425">
        <f>G241</f>
        <v>16</v>
      </c>
      <c r="H277" s="426"/>
      <c r="I277" s="425">
        <f>I241</f>
        <v>23</v>
      </c>
      <c r="J277" s="426"/>
      <c r="K277" s="425">
        <f>K241</f>
        <v>30</v>
      </c>
      <c r="L277" s="426"/>
      <c r="M277" s="425">
        <f>M241</f>
        <v>33</v>
      </c>
      <c r="N277" s="426"/>
      <c r="O277" s="395"/>
      <c r="P277" s="395"/>
      <c r="Q277" s="395"/>
      <c r="R277" s="395"/>
      <c r="S277" s="395"/>
      <c r="T277" s="395"/>
      <c r="U277" s="395"/>
      <c r="V277" s="395"/>
      <c r="W277" s="3"/>
      <c r="Y277" s="4"/>
      <c r="Z277" s="5"/>
    </row>
    <row r="278" spans="1:30" ht="34.5" thickBot="1" x14ac:dyDescent="0.3">
      <c r="A278" s="300" t="s">
        <v>27</v>
      </c>
      <c r="B278" s="360">
        <v>7</v>
      </c>
      <c r="C278" s="421" t="s">
        <v>5</v>
      </c>
      <c r="D278" s="422"/>
      <c r="E278" s="421" t="s">
        <v>1</v>
      </c>
      <c r="F278" s="422"/>
      <c r="G278" s="421" t="s">
        <v>2</v>
      </c>
      <c r="H278" s="422"/>
      <c r="I278" s="421" t="s">
        <v>3</v>
      </c>
      <c r="J278" s="422"/>
      <c r="K278" s="421" t="s">
        <v>4</v>
      </c>
      <c r="L278" s="422"/>
      <c r="M278" s="421" t="s">
        <v>93</v>
      </c>
      <c r="N278" s="422"/>
      <c r="O278" s="396"/>
      <c r="P278" s="396"/>
      <c r="Q278" s="396"/>
      <c r="R278" s="396"/>
      <c r="S278" s="396"/>
      <c r="T278" s="396"/>
      <c r="U278" s="396"/>
      <c r="V278" s="396"/>
      <c r="W278" s="3"/>
      <c r="X278" s="302" t="str">
        <f>A278</f>
        <v>Dragon</v>
      </c>
      <c r="Y278" s="361"/>
      <c r="Z278" s="362"/>
    </row>
    <row r="279" spans="1:30" ht="17.25" customHeight="1" thickBot="1" x14ac:dyDescent="0.3">
      <c r="A279" s="90"/>
      <c r="B279" s="91" t="s">
        <v>96</v>
      </c>
      <c r="C279" s="447">
        <f>C243</f>
        <v>1.8</v>
      </c>
      <c r="D279" s="448"/>
      <c r="E279" s="447">
        <f>E243</f>
        <v>1.2</v>
      </c>
      <c r="F279" s="448"/>
      <c r="G279" s="447">
        <f>G243</f>
        <v>1.57</v>
      </c>
      <c r="H279" s="448"/>
      <c r="I279" s="447">
        <f>I243</f>
        <v>1.2789999999999999</v>
      </c>
      <c r="J279" s="448"/>
      <c r="K279" s="447">
        <f>K243</f>
        <v>1.67</v>
      </c>
      <c r="L279" s="448"/>
      <c r="M279" s="447">
        <f>M243</f>
        <v>0</v>
      </c>
      <c r="N279" s="448"/>
      <c r="O279" s="394"/>
      <c r="P279" s="394"/>
      <c r="Q279" s="394"/>
      <c r="R279" s="394"/>
      <c r="S279" s="394"/>
      <c r="T279" s="394"/>
      <c r="U279" s="394"/>
      <c r="V279" s="394"/>
      <c r="W279" s="3"/>
    </row>
    <row r="280" spans="1:30" ht="34.5" thickBot="1" x14ac:dyDescent="0.3">
      <c r="A280" s="92"/>
      <c r="B280" s="92"/>
      <c r="C280" s="93" t="s">
        <v>16</v>
      </c>
      <c r="D280" s="430" t="s">
        <v>6</v>
      </c>
      <c r="E280" s="431"/>
      <c r="F280" s="430" t="s">
        <v>7</v>
      </c>
      <c r="G280" s="431"/>
      <c r="H280" s="430" t="s">
        <v>8</v>
      </c>
      <c r="I280" s="431"/>
      <c r="J280" s="430" t="s">
        <v>9</v>
      </c>
      <c r="K280" s="431"/>
      <c r="L280" s="449" t="s">
        <v>30</v>
      </c>
      <c r="M280" s="393"/>
      <c r="N280" s="449" t="s">
        <v>31</v>
      </c>
      <c r="O280" s="393"/>
      <c r="P280" s="304"/>
      <c r="Q280" s="78"/>
      <c r="R280" s="78"/>
      <c r="W280" s="3"/>
      <c r="Y280" s="305" t="s">
        <v>36</v>
      </c>
      <c r="Z280" s="230" t="s">
        <v>71</v>
      </c>
      <c r="AA280" s="306" t="s">
        <v>80</v>
      </c>
      <c r="AB280" s="307"/>
      <c r="AC280" s="307"/>
      <c r="AD280" s="308"/>
    </row>
    <row r="281" spans="1:30" ht="15.75" thickBot="1" x14ac:dyDescent="0.3">
      <c r="A281" s="441"/>
      <c r="B281" s="442"/>
      <c r="C281" s="93" t="s">
        <v>33</v>
      </c>
      <c r="D281" s="423">
        <f>IF(C279&lt;E279,E279-C279,C279-E279)</f>
        <v>0.60000000000000009</v>
      </c>
      <c r="E281" s="424"/>
      <c r="F281" s="423">
        <f>IF(G279&lt;E279,E279-G279,G279-E279)</f>
        <v>0.37000000000000011</v>
      </c>
      <c r="G281" s="424"/>
      <c r="H281" s="423">
        <f>IF(I279&lt;G279,G279-I279,I279-G279)</f>
        <v>0.29100000000000015</v>
      </c>
      <c r="I281" s="424"/>
      <c r="J281" s="423">
        <f>IF(K279&lt;I279,I279-K279,K279-I279)</f>
        <v>0.39100000000000001</v>
      </c>
      <c r="K281" s="424"/>
      <c r="L281" s="423">
        <f>IF(C279&lt;E279,E279-C279,C279-E279)</f>
        <v>0.60000000000000009</v>
      </c>
      <c r="M281" s="424"/>
      <c r="N281" s="423">
        <f>IF(E279&lt;G279,G279-E279,E279-G279)</f>
        <v>0.37000000000000011</v>
      </c>
      <c r="O281" s="424"/>
      <c r="P281" s="78"/>
      <c r="Q281" s="76"/>
      <c r="R281" s="76"/>
      <c r="W281" s="3"/>
      <c r="X281" s="2">
        <v>1</v>
      </c>
      <c r="Y281" s="311" t="s">
        <v>70</v>
      </c>
      <c r="Z281" s="312" t="str">
        <f>IF(R301&gt;Z303,CONCATENATE("[Weak Structure: More than ",Z303," % Price deviation]"),"")</f>
        <v>[Weak Structure: More than 8 % Price deviation]</v>
      </c>
      <c r="AA281" s="381" t="s">
        <v>72</v>
      </c>
      <c r="AB281" s="382"/>
      <c r="AC281" s="382"/>
      <c r="AD281" s="383"/>
    </row>
    <row r="282" spans="1:30" ht="15.75" thickBot="1" x14ac:dyDescent="0.3">
      <c r="A282" s="443"/>
      <c r="B282" s="444"/>
      <c r="C282" s="93" t="s">
        <v>18</v>
      </c>
      <c r="D282" s="437" t="s">
        <v>17</v>
      </c>
      <c r="E282" s="438"/>
      <c r="F282" s="437" t="str">
        <f>IF(C289&gt;0,(D281*C289),"No Data")</f>
        <v>No Data</v>
      </c>
      <c r="G282" s="438"/>
      <c r="H282" s="437">
        <f>IF(C290&gt;0,(F281*C290),"No Data")</f>
        <v>0.14134000000000005</v>
      </c>
      <c r="I282" s="438"/>
      <c r="J282" s="437">
        <f>IF(C291&gt;0,(H281*C291),"No Data")</f>
        <v>0.25782600000000011</v>
      </c>
      <c r="K282" s="438"/>
      <c r="L282" s="437">
        <f>IF(C292&gt;0,(L281*C292),"No Data")</f>
        <v>0.30000000000000004</v>
      </c>
      <c r="M282" s="438"/>
      <c r="N282" s="437">
        <f>IF(C293&gt;0,(N281*C293),"No Data")</f>
        <v>0.14134000000000005</v>
      </c>
      <c r="O282" s="438"/>
      <c r="P282" s="314"/>
      <c r="Q282" s="76"/>
      <c r="R282" s="76"/>
      <c r="W282" s="3"/>
      <c r="X282" s="2">
        <v>2</v>
      </c>
      <c r="Y282" s="311" t="s">
        <v>57</v>
      </c>
      <c r="Z282" s="312" t="str">
        <f>IF(R302&gt;AB303,CONCATENATE("[Weak Structure: More than ",AB303," % Time deviation]"),"")</f>
        <v/>
      </c>
      <c r="AA282" s="381" t="s">
        <v>73</v>
      </c>
      <c r="AB282" s="382"/>
      <c r="AC282" s="382"/>
      <c r="AD282" s="383"/>
    </row>
    <row r="283" spans="1:30" ht="15.75" thickBot="1" x14ac:dyDescent="0.3">
      <c r="A283" s="443"/>
      <c r="B283" s="444"/>
      <c r="C283" s="93" t="s">
        <v>19</v>
      </c>
      <c r="D283" s="437" t="s">
        <v>17</v>
      </c>
      <c r="E283" s="438"/>
      <c r="F283" s="437" t="str">
        <f>IF(D289&gt;0,(D281*D289),"No Data")</f>
        <v>No Data</v>
      </c>
      <c r="G283" s="438"/>
      <c r="H283" s="437">
        <f>IF(D290&gt;0,(F281*D290),"No Data")</f>
        <v>0.18500000000000005</v>
      </c>
      <c r="I283" s="438"/>
      <c r="J283" s="437" t="str">
        <f>IF(D291&gt;0,(H281*D291),"No Data")</f>
        <v>No Data</v>
      </c>
      <c r="K283" s="438"/>
      <c r="L283" s="437" t="str">
        <f>IF(D292&gt;0,(L281*D292),"No Data")</f>
        <v>No Data</v>
      </c>
      <c r="M283" s="438"/>
      <c r="N283" s="437">
        <f>IF(D293&gt;0,(N281*D293),"No Data")</f>
        <v>0.18500000000000005</v>
      </c>
      <c r="O283" s="438"/>
      <c r="P283" s="314"/>
      <c r="Q283" s="76"/>
      <c r="R283" s="76"/>
      <c r="W283" s="3"/>
      <c r="X283" s="2">
        <v>3</v>
      </c>
      <c r="Y283" s="311"/>
      <c r="Z283" s="315"/>
      <c r="AA283" s="381"/>
      <c r="AB283" s="382"/>
      <c r="AC283" s="382"/>
      <c r="AD283" s="383"/>
    </row>
    <row r="284" spans="1:30" ht="15.75" thickBot="1" x14ac:dyDescent="0.3">
      <c r="A284" s="443"/>
      <c r="B284" s="444"/>
      <c r="C284" s="93" t="s">
        <v>20</v>
      </c>
      <c r="D284" s="437" t="s">
        <v>17</v>
      </c>
      <c r="E284" s="438"/>
      <c r="F284" s="437" t="str">
        <f>IF(E289&gt;0,(D281*E289),"No Data")</f>
        <v>No Data</v>
      </c>
      <c r="G284" s="438"/>
      <c r="H284" s="437" t="str">
        <f>IF(E290&gt;0,(F281*E290),"No Data")</f>
        <v>No Data</v>
      </c>
      <c r="I284" s="438"/>
      <c r="J284" s="437" t="str">
        <f>IF(E291&gt;0,(H281*E291),"No Data")</f>
        <v>No Data</v>
      </c>
      <c r="K284" s="438"/>
      <c r="L284" s="437" t="str">
        <f>IF(E292&gt;0,(L281*E292),"No Data")</f>
        <v>No Data</v>
      </c>
      <c r="M284" s="438"/>
      <c r="N284" s="437">
        <f>IF(E293&gt;0,(N281*E293),"No Data")</f>
        <v>0.22866000000000006</v>
      </c>
      <c r="O284" s="438"/>
      <c r="P284" s="314"/>
      <c r="Q284" s="76"/>
      <c r="R284" s="76"/>
      <c r="W284" s="3"/>
      <c r="X284" s="2">
        <v>4</v>
      </c>
      <c r="Y284" s="311"/>
      <c r="Z284" s="317"/>
      <c r="AA284" s="381"/>
      <c r="AB284" s="382"/>
      <c r="AC284" s="382"/>
      <c r="AD284" s="383"/>
    </row>
    <row r="285" spans="1:30" ht="15.75" thickBot="1" x14ac:dyDescent="0.3">
      <c r="A285" s="445"/>
      <c r="B285" s="446"/>
      <c r="C285" s="93" t="s">
        <v>21</v>
      </c>
      <c r="D285" s="437" t="s">
        <v>17</v>
      </c>
      <c r="E285" s="438"/>
      <c r="F285" s="437" t="str">
        <f>IF(F289&gt;0,(D281*F289),"No Data")</f>
        <v>No Data</v>
      </c>
      <c r="G285" s="438"/>
      <c r="H285" s="437" t="str">
        <f>IF(F290&gt;0,(F281*F290),"No Data")</f>
        <v>No Data</v>
      </c>
      <c r="I285" s="438"/>
      <c r="J285" s="437" t="str">
        <f>IF(F291&gt;0,(H281*F291),"No Data")</f>
        <v>No Data</v>
      </c>
      <c r="K285" s="438"/>
      <c r="L285" s="437" t="str">
        <f>IF(F292&gt;0,(L281*F292),"No Data")</f>
        <v>No Data</v>
      </c>
      <c r="M285" s="438"/>
      <c r="N285" s="437" t="str">
        <f>IF(F293&gt;0,(N281*F293),"No Data")</f>
        <v>No Data</v>
      </c>
      <c r="O285" s="438"/>
      <c r="P285" s="314"/>
      <c r="Q285" s="76"/>
      <c r="R285" s="76"/>
      <c r="W285" s="3"/>
      <c r="X285" s="2">
        <v>5</v>
      </c>
      <c r="Y285" s="311" t="s">
        <v>70</v>
      </c>
      <c r="Z285" s="312" t="str">
        <f>IF(C279&gt;E279,IF(AND(C279&gt;E279,E279&lt;G279,G279&gt;I279,I279&lt;K279),"","[No Structure found] "),IF(AND(C279&lt;E279,E279&gt;G279,G279&lt;I279,I279&gt;K279),"","[No Structure found] "))</f>
        <v/>
      </c>
      <c r="AA285" s="381" t="s">
        <v>81</v>
      </c>
      <c r="AB285" s="382"/>
      <c r="AC285" s="382"/>
      <c r="AD285" s="383"/>
    </row>
    <row r="286" spans="1:30" ht="19.5" thickBot="1" x14ac:dyDescent="0.3">
      <c r="A286" s="432" t="str">
        <f>CONCATENATE(IF(C279&gt;E279,"Bearish",""),(IF(C279&lt;E279,"Bullish","")))</f>
        <v>Bearish</v>
      </c>
      <c r="B286" s="433"/>
      <c r="N286" s="114"/>
      <c r="W286" s="3"/>
      <c r="X286" s="2">
        <v>6</v>
      </c>
      <c r="Y286" s="311" t="s">
        <v>70</v>
      </c>
      <c r="Z286" s="312" t="str">
        <f>CONCATENATE(IF(AND(C279&gt;E279,K279&gt;C279),"[Structure Violation: D passed X] ",""),IF(AND(C279&lt;E279,K279&lt;C279),"[Structure Violation: D passed X] ",""))</f>
        <v/>
      </c>
      <c r="AA286" s="381" t="s">
        <v>83</v>
      </c>
      <c r="AB286" s="382"/>
      <c r="AC286" s="382"/>
      <c r="AD286" s="383"/>
    </row>
    <row r="287" spans="1:30" ht="15.75" thickBot="1" x14ac:dyDescent="0.3">
      <c r="C287" s="418" t="s">
        <v>50</v>
      </c>
      <c r="D287" s="419"/>
      <c r="E287" s="419"/>
      <c r="F287" s="420"/>
      <c r="G287" s="427" t="s">
        <v>49</v>
      </c>
      <c r="H287" s="428"/>
      <c r="I287" s="428"/>
      <c r="J287" s="429"/>
      <c r="K287" s="427" t="s">
        <v>52</v>
      </c>
      <c r="L287" s="428"/>
      <c r="M287" s="428"/>
      <c r="N287" s="428"/>
      <c r="O287" s="427" t="s">
        <v>67</v>
      </c>
      <c r="P287" s="428"/>
      <c r="Q287" s="428"/>
      <c r="R287" s="429"/>
      <c r="S287" s="384" t="s">
        <v>65</v>
      </c>
      <c r="T287" s="385"/>
      <c r="W287" s="3"/>
      <c r="X287" s="2">
        <v>7</v>
      </c>
      <c r="Y287" s="311" t="s">
        <v>70</v>
      </c>
      <c r="Z287" s="318" t="str">
        <f>CONCATENATE(IF(AND(C279&gt;E279,I279&lt;E279),"[Structure Violation: C passed A] ",""),IF(AND(C279&lt;E279,I279&gt;E279),"[Structure Violation: C passed A] ",""))</f>
        <v/>
      </c>
      <c r="AA287" s="381" t="s">
        <v>84</v>
      </c>
      <c r="AB287" s="382"/>
      <c r="AC287" s="382"/>
      <c r="AD287" s="383"/>
    </row>
    <row r="288" spans="1:30" ht="15.75" thickBot="1" x14ac:dyDescent="0.3">
      <c r="A288" s="115" t="s">
        <v>10</v>
      </c>
      <c r="B288" s="116" t="s">
        <v>51</v>
      </c>
      <c r="C288" s="319">
        <v>1</v>
      </c>
      <c r="D288" s="319">
        <v>2</v>
      </c>
      <c r="E288" s="319">
        <v>3</v>
      </c>
      <c r="F288" s="319">
        <v>4</v>
      </c>
      <c r="G288" s="118">
        <v>1</v>
      </c>
      <c r="H288" s="118">
        <v>2</v>
      </c>
      <c r="I288" s="118">
        <v>3</v>
      </c>
      <c r="J288" s="118">
        <v>4</v>
      </c>
      <c r="K288" s="119">
        <v>1</v>
      </c>
      <c r="L288" s="119">
        <v>2</v>
      </c>
      <c r="M288" s="119">
        <v>3</v>
      </c>
      <c r="N288" s="120">
        <v>4</v>
      </c>
      <c r="O288" s="118">
        <v>1</v>
      </c>
      <c r="P288" s="119">
        <v>2</v>
      </c>
      <c r="Q288" s="118">
        <v>3</v>
      </c>
      <c r="R288" s="119">
        <v>4</v>
      </c>
      <c r="S288" s="121" t="s">
        <v>63</v>
      </c>
      <c r="T288" s="122" t="s">
        <v>64</v>
      </c>
      <c r="W288" s="3"/>
      <c r="X288" s="2">
        <v>8</v>
      </c>
      <c r="Y288" s="311" t="s">
        <v>57</v>
      </c>
      <c r="Z288" s="312" t="str">
        <f>CONCATENATE(IF(AND(C279&gt;E279,G279&gt;C279),"[Structure Violaton: B passed X] ",""),IF(AND(C279&lt;E279,G279&lt;C279),"[Structure Violation: B passed X] ",""))</f>
        <v/>
      </c>
      <c r="AA288" s="381" t="s">
        <v>85</v>
      </c>
      <c r="AB288" s="382"/>
      <c r="AC288" s="382"/>
      <c r="AD288" s="383"/>
    </row>
    <row r="289" spans="1:30" ht="15.75" thickBot="1" x14ac:dyDescent="0.3">
      <c r="A289" s="125" t="s">
        <v>11</v>
      </c>
      <c r="B289" s="320" t="s">
        <v>6</v>
      </c>
      <c r="C289" s="321"/>
      <c r="D289" s="322"/>
      <c r="E289" s="322"/>
      <c r="F289" s="323"/>
      <c r="G289" s="130">
        <f>IF(C279&gt;E279,IF(C289&gt;0,E279+(D281*C289),0),IF(C289&gt;0,E279-(D281*C289),0))</f>
        <v>0</v>
      </c>
      <c r="H289" s="131">
        <f>IF(C279&gt;E279,IF(D289&gt;0,E279+(D281*D289),0),IF(D289&gt;0,E279-(D281*D289),0))</f>
        <v>0</v>
      </c>
      <c r="I289" s="131">
        <f>IF(C279&gt;E279,IF(E289&gt;0,E279+(D281*E289),0),IF(E289&gt;0,E279-(D281*E289),0))</f>
        <v>0</v>
      </c>
      <c r="J289" s="131">
        <f>IF(C279&gt;E279,IF(F289&gt;0,E279+(D281*F289),0),IF(F289&gt;0,E279-(D281*F289),0))</f>
        <v>0</v>
      </c>
      <c r="K289" s="133">
        <f>IF(C289&gt;0,IF(G289&lt;G279,G279-G289,G289-G279),0)</f>
        <v>0</v>
      </c>
      <c r="L289" s="134">
        <f>IF(D289&gt;0,IF(H289&lt;G279,G279-H289,H289-G279),0)</f>
        <v>0</v>
      </c>
      <c r="M289" s="134">
        <f>IF(E289&gt;0,IF(I289&lt;G279,G279-I289,I289-G279),0)</f>
        <v>0</v>
      </c>
      <c r="N289" s="135">
        <f>IF(F289&gt;0,IF(J289&lt;G279,G279-J289,J289-G279),0)</f>
        <v>0</v>
      </c>
      <c r="O289" s="130" t="str">
        <f t="shared" ref="O289:O291" si="123">IF(C289=0,"No Data",G289)</f>
        <v>No Data</v>
      </c>
      <c r="P289" s="131" t="str">
        <f t="shared" ref="P289:P291" si="124">IF(D289=0,"No Data",H289)</f>
        <v>No Data</v>
      </c>
      <c r="Q289" s="131" t="str">
        <f t="shared" ref="Q289:Q297" si="125">IF(E289=0,"No Data",I289)</f>
        <v>No Data</v>
      </c>
      <c r="R289" s="132" t="str">
        <f t="shared" ref="R289:R291" si="126">IF(F289=0,"No Data",J289)</f>
        <v>No Data</v>
      </c>
      <c r="S289" s="136">
        <f t="shared" ref="S289:S293" si="127">MAX(O289:R289)</f>
        <v>0</v>
      </c>
      <c r="T289" s="137">
        <f t="shared" ref="T289:T290" si="128">MIN(O289:R289)</f>
        <v>0</v>
      </c>
      <c r="W289" s="3"/>
      <c r="X289" s="2">
        <v>9</v>
      </c>
      <c r="Y289" s="311" t="s">
        <v>57</v>
      </c>
      <c r="Z289" s="312" t="str">
        <f>CONCATENATE(IF(AND(C279&gt;E279,I279&gt;E279),"[Structure Violation: C above A] ",""),IF(AND(C279&lt;E279,I279&lt;E279),"[Structure Violation: C below A] ",""))</f>
        <v xml:space="preserve">[Structure Violation: C above A] </v>
      </c>
      <c r="AA289" s="381" t="s">
        <v>86</v>
      </c>
      <c r="AB289" s="382"/>
      <c r="AC289" s="382"/>
      <c r="AD289" s="383"/>
    </row>
    <row r="290" spans="1:30" ht="15.75" thickBot="1" x14ac:dyDescent="0.3">
      <c r="A290" s="125" t="s">
        <v>12</v>
      </c>
      <c r="B290" s="324" t="s">
        <v>7</v>
      </c>
      <c r="C290" s="325">
        <v>0.38200000000000001</v>
      </c>
      <c r="D290" s="326">
        <v>0.5</v>
      </c>
      <c r="E290" s="326"/>
      <c r="F290" s="327"/>
      <c r="G290" s="143">
        <f>IF(C279&gt;E279,IF(C290&gt;0,G279-(F281*C290),0),IF(C290&gt;0,G279+(F281*C290),0))</f>
        <v>1.42866</v>
      </c>
      <c r="H290" s="144">
        <f>IF(C279&gt;E279,IF(D290&gt;0,G279-(F281*D290),0),IF(D290&gt;0,G279+(F281*D290),0))</f>
        <v>1.385</v>
      </c>
      <c r="I290" s="144">
        <f>IF(C279&gt;E279,IF(E290&gt;0,G279-(F281*E290),0),IF(E290&gt;0,G279+(F281*E290),0))</f>
        <v>0</v>
      </c>
      <c r="J290" s="328">
        <f>IF(C279&gt;E279,IF(F290&gt;0,G279-(F281*F290),0),IF(F290&gt;0,G279+(F281*F290),0))</f>
        <v>0</v>
      </c>
      <c r="K290" s="146">
        <f>IF(C290&gt;0,IF(G290&lt;I279,I279-G290,G290-I279),0)</f>
        <v>0.14966000000000013</v>
      </c>
      <c r="L290" s="147">
        <f>IF(D290&gt;0,IF(H290&lt;I279,I279-H290,H290-I279),0)</f>
        <v>0.10600000000000009</v>
      </c>
      <c r="M290" s="147">
        <f>IF(E290&gt;0,IF(I290&lt;I279,I279-I290,I290-I279),0)</f>
        <v>0</v>
      </c>
      <c r="N290" s="148">
        <f>IF(F290&gt;0,IF(J290&lt;I279,I279-J290,J290-I279),0)</f>
        <v>0</v>
      </c>
      <c r="O290" s="143">
        <f t="shared" si="123"/>
        <v>1.42866</v>
      </c>
      <c r="P290" s="144">
        <f t="shared" si="124"/>
        <v>1.385</v>
      </c>
      <c r="Q290" s="144" t="str">
        <f t="shared" si="125"/>
        <v>No Data</v>
      </c>
      <c r="R290" s="145" t="str">
        <f t="shared" si="126"/>
        <v>No Data</v>
      </c>
      <c r="S290" s="149">
        <f t="shared" si="127"/>
        <v>1.42866</v>
      </c>
      <c r="T290" s="150">
        <f t="shared" si="128"/>
        <v>1.385</v>
      </c>
      <c r="W290" s="3"/>
      <c r="X290" s="2">
        <v>10</v>
      </c>
      <c r="Y290" s="311" t="s">
        <v>57</v>
      </c>
      <c r="Z290" s="318" t="str">
        <f>CONCATENATE(IF(AND(C279&gt;E279,G279&gt;K279),"[Structure Violation: B above D] ",""),IF(AND(C279&lt;E279,G279&lt;K279),"[Structure Violation: B below D] ",""))</f>
        <v/>
      </c>
      <c r="AA290" s="381" t="s">
        <v>87</v>
      </c>
      <c r="AB290" s="382"/>
      <c r="AC290" s="382"/>
      <c r="AD290" s="383"/>
    </row>
    <row r="291" spans="1:30" ht="15.75" thickBot="1" x14ac:dyDescent="0.3">
      <c r="A291" s="125" t="s">
        <v>13</v>
      </c>
      <c r="B291" s="324" t="s">
        <v>8</v>
      </c>
      <c r="C291" s="325">
        <v>0.88600000000000001</v>
      </c>
      <c r="D291" s="326"/>
      <c r="E291" s="326"/>
      <c r="F291" s="327"/>
      <c r="G291" s="143">
        <f>IF(C279&gt;E279,IF(C291&gt;0,I279+(H281*C291),0),IF(C291&gt;0,I279-(H281*C291),0))</f>
        <v>1.536826</v>
      </c>
      <c r="H291" s="144">
        <f>IF(C279&gt;E279,IF(D291&gt;0,I279+(H281*D291),0),IF(D291&gt;0,I279-(H281*D291),0))</f>
        <v>0</v>
      </c>
      <c r="I291" s="144">
        <f>IF(C279&gt;E279,IF(E291&gt;0,I279+(H281*E291),0),IF(E291&gt;0,I279-(H281*E291),0))</f>
        <v>0</v>
      </c>
      <c r="J291" s="328">
        <f>IF(C279&gt;E279,IF(F291&gt;0,I279+(H281*F291),0),IF(F291&gt;0,I279-(H281*F291),0))</f>
        <v>0</v>
      </c>
      <c r="K291" s="146">
        <f>IF(C291&gt;0,IF(G291&lt;K279,K279-G291,G291-K279),0)</f>
        <v>0.1331739999999999</v>
      </c>
      <c r="L291" s="147">
        <f>IF(D291&gt;0,IF(H291&lt;K279,K279-H291,H291-K279),0)</f>
        <v>0</v>
      </c>
      <c r="M291" s="147">
        <f>IF(E291&gt;0,IF(I291&lt;K279,K279-I291,I291-K279),0)</f>
        <v>0</v>
      </c>
      <c r="N291" s="148">
        <f>IF(F291&gt;0,IF(J291&lt;K279,K279-J291,J291-K279),0)</f>
        <v>0</v>
      </c>
      <c r="O291" s="143">
        <f t="shared" si="123"/>
        <v>1.536826</v>
      </c>
      <c r="P291" s="144" t="str">
        <f t="shared" si="124"/>
        <v>No Data</v>
      </c>
      <c r="Q291" s="144" t="str">
        <f t="shared" si="125"/>
        <v>No Data</v>
      </c>
      <c r="R291" s="145" t="str">
        <f t="shared" si="126"/>
        <v>No Data</v>
      </c>
      <c r="S291" s="151">
        <f t="shared" si="127"/>
        <v>1.536826</v>
      </c>
      <c r="T291" s="150">
        <f>MIN(O291:R291)</f>
        <v>1.536826</v>
      </c>
      <c r="W291" s="3"/>
      <c r="X291" s="2">
        <v>11</v>
      </c>
      <c r="Y291" s="311" t="s">
        <v>57</v>
      </c>
      <c r="Z291" s="312" t="str">
        <f>CONCATENATE(IF(AND(C279&gt;E279,K279&lt;C279),"[Structure Violation: D below X] ",""),IF(AND(C279&lt;E279,K279&gt;C279),"[Structure Violation: D above X] ",""))</f>
        <v xml:space="preserve">[Structure Violation: D below X] </v>
      </c>
      <c r="AA291" s="381" t="s">
        <v>88</v>
      </c>
      <c r="AB291" s="382"/>
      <c r="AC291" s="382"/>
      <c r="AD291" s="383"/>
    </row>
    <row r="292" spans="1:30" ht="15.75" thickBot="1" x14ac:dyDescent="0.3">
      <c r="A292" s="125" t="s">
        <v>14</v>
      </c>
      <c r="B292" s="324" t="s">
        <v>6</v>
      </c>
      <c r="C292" s="325">
        <v>0.5</v>
      </c>
      <c r="D292" s="326"/>
      <c r="E292" s="326"/>
      <c r="F292" s="327"/>
      <c r="G292" s="152">
        <f>IF(C279&gt;E279,IF(C292&gt;0,E279+(D281*C292),0),IF(C292&gt;0,E279-(D281*C292),0))</f>
        <v>1.5</v>
      </c>
      <c r="H292" s="144">
        <f>IF(C279&gt;E279,IF(D292&gt;0,E279+(D281*D292),0),IF(D292&gt;0,E279-(D281*D292),0))</f>
        <v>0</v>
      </c>
      <c r="I292" s="144">
        <f>IF(C279&gt;E279,IF(E292&gt;0,E279+(D281*E292),0),IF(E292&gt;0,E279-(D281*E292),0))</f>
        <v>0</v>
      </c>
      <c r="J292" s="329">
        <f>IF(C279&gt;E279,IF(F292&gt;0,E279+(D281*F292),0),IF(F292&gt;0,E279-(D281*F292),0))</f>
        <v>0</v>
      </c>
      <c r="K292" s="146">
        <f>IF(C292&gt;0,IF(G292&lt;K279,K279-G292,G292-K279),0)</f>
        <v>0.16999999999999993</v>
      </c>
      <c r="L292" s="147">
        <f>IF(D292&gt;0,IF(H292&lt;K279,K279-H292,H292-K279),0)</f>
        <v>0</v>
      </c>
      <c r="M292" s="147">
        <f>IF(E292&gt;0,IF(I292&lt;K279,K279-I292,I292-K279),0)</f>
        <v>0</v>
      </c>
      <c r="N292" s="148">
        <f>IF(F292&gt;0,IF(J292&lt;K279,K279-J292,J292-K279),0)</f>
        <v>0</v>
      </c>
      <c r="O292" s="152">
        <f>IF(C292=0,"No Data",G292)</f>
        <v>1.5</v>
      </c>
      <c r="P292" s="144" t="str">
        <f>IF(D292=0,"No Data",H292)</f>
        <v>No Data</v>
      </c>
      <c r="Q292" s="144" t="str">
        <f t="shared" si="125"/>
        <v>No Data</v>
      </c>
      <c r="R292" s="153" t="str">
        <f>IF(F292=0,"No Data",J292)</f>
        <v>No Data</v>
      </c>
      <c r="S292" s="149">
        <f t="shared" si="127"/>
        <v>1.5</v>
      </c>
      <c r="T292" s="150">
        <f t="shared" ref="T292:T293" si="129">MIN(O292:R292)</f>
        <v>1.5</v>
      </c>
      <c r="W292" s="3"/>
      <c r="X292" s="2">
        <v>12</v>
      </c>
      <c r="Y292" s="311" t="s">
        <v>57</v>
      </c>
      <c r="Z292" s="312" t="str">
        <f>CONCATENATE(IF(AND(C279&gt;E279,K279&gt;G279),"[Structure Violation: D passed B] ",""),IF(AND(C279&lt;E279,K279&lt;G279),"[Structure Violation: D passed B] ",""))</f>
        <v xml:space="preserve">[Structure Violation: D passed B] </v>
      </c>
      <c r="AA292" s="381" t="s">
        <v>89</v>
      </c>
      <c r="AB292" s="382"/>
      <c r="AC292" s="382"/>
      <c r="AD292" s="383"/>
    </row>
    <row r="293" spans="1:30" ht="15.75" thickBot="1" x14ac:dyDescent="0.3">
      <c r="A293" s="125" t="s">
        <v>29</v>
      </c>
      <c r="B293" s="331" t="s">
        <v>7</v>
      </c>
      <c r="C293" s="332">
        <v>0.38200000000000001</v>
      </c>
      <c r="D293" s="333">
        <v>0.5</v>
      </c>
      <c r="E293" s="333">
        <v>0.61799999999999999</v>
      </c>
      <c r="F293" s="334"/>
      <c r="G293" s="159">
        <f>IF(C279&gt;E279,IF(C293&gt;0,I279+(F281*C293),0),IF(C293&gt;0,I279-(F281*C293),0))</f>
        <v>1.4203399999999999</v>
      </c>
      <c r="H293" s="160">
        <f>IF(C279&gt;E279,IF(D293&gt;0,I279+(F281*D293),0),IF(D293&gt;0,I279-(F281*D293),0))</f>
        <v>1.464</v>
      </c>
      <c r="I293" s="160">
        <f>IF(C279&gt;E279,IF(E293&gt;0,I279+(F281*E293),0),IF(E293&gt;0,I279-(F281*E293),0))</f>
        <v>1.50766</v>
      </c>
      <c r="J293" s="160">
        <f>IF(C279&gt;E279,IF(F293&gt;0,I279+(F281*F293),0),IF(F293&gt;0,I279-(F281*F293),0))</f>
        <v>0</v>
      </c>
      <c r="K293" s="162">
        <f>IF(C293&gt;0,IF(G293&lt;K279,K279-G293,G293-K279),0)</f>
        <v>0.24965999999999999</v>
      </c>
      <c r="L293" s="163">
        <f>IF(D293&gt;0,IF(H293&lt;K279,K279-H293,H293-K279),0)</f>
        <v>0.20599999999999996</v>
      </c>
      <c r="M293" s="163">
        <f>IF(E293&gt;0,IF(I293&lt;K279,K279-I293,I293-K279),0)</f>
        <v>0.16233999999999993</v>
      </c>
      <c r="N293" s="164">
        <f>IF(F293&gt;0,IF(J293&lt;K279,K279-J293,J293-K279),0)</f>
        <v>0</v>
      </c>
      <c r="O293" s="159">
        <f t="shared" ref="O293" si="130">IF(C293=0,"No Data",G293)</f>
        <v>1.4203399999999999</v>
      </c>
      <c r="P293" s="160">
        <f t="shared" ref="P293" si="131">IF(D293=0,"No Data",H293)</f>
        <v>1.464</v>
      </c>
      <c r="Q293" s="160">
        <f t="shared" si="125"/>
        <v>1.50766</v>
      </c>
      <c r="R293" s="161" t="str">
        <f t="shared" ref="R293:R297" si="132">IF(F293=0,"No Data",J293)</f>
        <v>No Data</v>
      </c>
      <c r="S293" s="165">
        <f t="shared" si="127"/>
        <v>1.50766</v>
      </c>
      <c r="T293" s="166">
        <f t="shared" si="129"/>
        <v>1.4203399999999999</v>
      </c>
      <c r="W293" s="3"/>
      <c r="X293" s="2">
        <v>13</v>
      </c>
      <c r="Y293" s="311" t="s">
        <v>57</v>
      </c>
      <c r="Z293" s="312" t="str">
        <f>CONCATENATE(IF(AND(C279&gt;E279,G279&lt;C279),"[Structure Violation: B below X] ",""),IF(AND(C279&lt;E279,G279&gt;C279),"[Structure Violation: B above X] ",""))</f>
        <v xml:space="preserve">[Structure Violation: B below X] </v>
      </c>
      <c r="AA293" s="381" t="s">
        <v>90</v>
      </c>
      <c r="AB293" s="382"/>
      <c r="AC293" s="382"/>
      <c r="AD293" s="383"/>
    </row>
    <row r="294" spans="1:30" ht="16.5" thickTop="1" thickBot="1" x14ac:dyDescent="0.3">
      <c r="A294" s="12" t="s">
        <v>47</v>
      </c>
      <c r="B294" s="335" t="s">
        <v>6</v>
      </c>
      <c r="C294" s="336">
        <v>2.6179999999999999</v>
      </c>
      <c r="D294" s="337">
        <v>2.786</v>
      </c>
      <c r="E294" s="337">
        <v>2.8860000000000001</v>
      </c>
      <c r="F294" s="338">
        <v>3</v>
      </c>
      <c r="G294" s="339">
        <f>E277*C294</f>
        <v>23.561999999999998</v>
      </c>
      <c r="H294" s="174">
        <f>E277*D294</f>
        <v>25.074000000000002</v>
      </c>
      <c r="I294" s="175">
        <f>E277*E294</f>
        <v>25.974</v>
      </c>
      <c r="J294" s="176">
        <f>E277*F294</f>
        <v>27</v>
      </c>
      <c r="K294" s="177">
        <f>IF(C294=0,0,IF(K277&gt;G294,K277-G294,G294-K277))</f>
        <v>6.4380000000000024</v>
      </c>
      <c r="L294" s="178">
        <f>IF(D294=0,0,IF(K277&gt;H294,K277-H294,H294-K277))</f>
        <v>4.9259999999999984</v>
      </c>
      <c r="M294" s="178">
        <f>IF(E294=0,0,IF(K277&gt;I294,K277-I294,I294-K277))</f>
        <v>4.0259999999999998</v>
      </c>
      <c r="N294" s="179">
        <f>IF(F294=0,0,IF(K277&gt;J294,K277-J294,J294-K277))</f>
        <v>3</v>
      </c>
      <c r="O294" s="339">
        <f>IF(C294=0,"No Data",G294)</f>
        <v>23.561999999999998</v>
      </c>
      <c r="P294" s="174">
        <f>IF(D294=0,"No Data",H294)</f>
        <v>25.074000000000002</v>
      </c>
      <c r="Q294" s="175">
        <f t="shared" si="125"/>
        <v>25.974</v>
      </c>
      <c r="R294" s="176">
        <f t="shared" si="132"/>
        <v>27</v>
      </c>
      <c r="S294" s="180"/>
      <c r="T294" s="181"/>
      <c r="W294" s="3"/>
      <c r="X294" s="2">
        <v>14</v>
      </c>
      <c r="Y294" s="311" t="s">
        <v>70</v>
      </c>
      <c r="Z294" s="312" t="str">
        <f>CONCATENATE(IF(AND(E279&gt;G279,M279&gt;I279),"[Structure Violation: E passed C] ",""),IF(AND(E279&lt;G279,M279&lt;I279),"[Structure Violation: E passed C] ",""))</f>
        <v xml:space="preserve">[Structure Violation: E passed C] </v>
      </c>
      <c r="AA294" s="381" t="s">
        <v>94</v>
      </c>
      <c r="AB294" s="382"/>
      <c r="AC294" s="382"/>
      <c r="AD294" s="383"/>
    </row>
    <row r="295" spans="1:30" ht="15.75" thickBot="1" x14ac:dyDescent="0.3">
      <c r="A295" s="12" t="s">
        <v>47</v>
      </c>
      <c r="B295" s="340" t="s">
        <v>74</v>
      </c>
      <c r="C295" s="341">
        <v>2</v>
      </c>
      <c r="D295" s="342">
        <v>1.6180000000000001</v>
      </c>
      <c r="E295" s="342"/>
      <c r="F295" s="351"/>
      <c r="G295" s="191">
        <f>G277*C295</f>
        <v>32</v>
      </c>
      <c r="H295" s="186">
        <f>G277*D295</f>
        <v>25.888000000000002</v>
      </c>
      <c r="I295" s="186">
        <f>G277*E295</f>
        <v>0</v>
      </c>
      <c r="J295" s="344">
        <f>G277*F295</f>
        <v>0</v>
      </c>
      <c r="K295" s="345">
        <f>IF(C295=0,0,IF(K277&gt;G295,K277-G295,G295-K277))</f>
        <v>2</v>
      </c>
      <c r="L295" s="189">
        <f>IF(D295=0,0,IF(K277&gt;H295,K277-H295,H295-K277))</f>
        <v>4.1119999999999983</v>
      </c>
      <c r="M295" s="189">
        <f>IF(E295=0,0,IF(K277&gt;I295,K277-I295,I295-K277))</f>
        <v>0</v>
      </c>
      <c r="N295" s="178">
        <f>IF(F295=0,0,IF(K277&gt;J295,K277-J295,J295-K277))</f>
        <v>0</v>
      </c>
      <c r="O295" s="191">
        <f>IF(C295=0,"No Data",G295)</f>
        <v>32</v>
      </c>
      <c r="P295" s="186">
        <f t="shared" ref="P295:P297" si="133">IF(D295=0,"No Data",H295)</f>
        <v>25.888000000000002</v>
      </c>
      <c r="Q295" s="186" t="str">
        <f t="shared" si="125"/>
        <v>No Data</v>
      </c>
      <c r="R295" s="344" t="str">
        <f t="shared" si="132"/>
        <v>No Data</v>
      </c>
      <c r="S295" s="195"/>
      <c r="T295" s="196"/>
      <c r="W295" s="3"/>
      <c r="X295" s="2">
        <v>15</v>
      </c>
      <c r="Y295" s="311" t="s">
        <v>57</v>
      </c>
      <c r="Z295" s="317"/>
      <c r="AA295" s="346"/>
      <c r="AB295" s="347"/>
      <c r="AC295" s="347"/>
      <c r="AD295" s="348"/>
    </row>
    <row r="296" spans="1:30" ht="15.75" thickBot="1" x14ac:dyDescent="0.3">
      <c r="A296" s="12" t="s">
        <v>46</v>
      </c>
      <c r="B296" s="139" t="s">
        <v>6</v>
      </c>
      <c r="C296" s="349">
        <v>1.6180000000000001</v>
      </c>
      <c r="D296" s="350">
        <v>1.786</v>
      </c>
      <c r="E296" s="350"/>
      <c r="F296" s="343"/>
      <c r="G296" s="201">
        <f>E277*C296</f>
        <v>14.562000000000001</v>
      </c>
      <c r="H296" s="202">
        <f>E277*D296</f>
        <v>16.074000000000002</v>
      </c>
      <c r="I296" s="202">
        <f>E277*E296</f>
        <v>0</v>
      </c>
      <c r="J296" s="203">
        <f>E277*F296</f>
        <v>0</v>
      </c>
      <c r="K296" s="204">
        <f>IF(C296=0,0,IF(G277&gt;G296,G277-G296,G296-G277))</f>
        <v>1.4379999999999988</v>
      </c>
      <c r="L296" s="205">
        <f>IF(D296=0,0,IF(G277&gt;H296,G277-H296,H296-G277))</f>
        <v>7.400000000000162E-2</v>
      </c>
      <c r="M296" s="205">
        <f>IF(E296=0,0,IF(G277&gt;I296,G277-I296,I296-G277))</f>
        <v>0</v>
      </c>
      <c r="N296" s="206">
        <f>IF(F296=0,0,IF(G277&gt;J296,G277-J296,J296-G277))</f>
        <v>0</v>
      </c>
      <c r="O296" s="201">
        <f t="shared" ref="O296:O297" si="134">IF(C296=0,"No Data",G296)</f>
        <v>14.562000000000001</v>
      </c>
      <c r="P296" s="202">
        <f t="shared" si="133"/>
        <v>16.074000000000002</v>
      </c>
      <c r="Q296" s="202" t="str">
        <f t="shared" si="125"/>
        <v>No Data</v>
      </c>
      <c r="R296" s="203" t="str">
        <f t="shared" si="132"/>
        <v>No Data</v>
      </c>
      <c r="S296" s="207"/>
      <c r="T296" s="208"/>
      <c r="W296" s="3"/>
    </row>
    <row r="297" spans="1:30" ht="15.75" thickBot="1" x14ac:dyDescent="0.3">
      <c r="A297" s="12" t="s">
        <v>66</v>
      </c>
      <c r="B297" s="354" t="s">
        <v>6</v>
      </c>
      <c r="C297" s="355"/>
      <c r="D297" s="356"/>
      <c r="E297" s="356"/>
      <c r="F297" s="357"/>
      <c r="G297" s="213">
        <f>E277*C297</f>
        <v>0</v>
      </c>
      <c r="H297" s="214">
        <f>E277*D297</f>
        <v>0</v>
      </c>
      <c r="I297" s="214">
        <f>E277*E297</f>
        <v>0</v>
      </c>
      <c r="J297" s="215">
        <f>E277*F297</f>
        <v>0</v>
      </c>
      <c r="K297" s="216">
        <f>IF(C297=0,0,IF(I277&gt;G297,I277-G297,G297-I277))</f>
        <v>0</v>
      </c>
      <c r="L297" s="217">
        <f>IF(D297=0,0,IF(I277&gt;H297,I277-H297,H297-I277))</f>
        <v>0</v>
      </c>
      <c r="M297" s="217">
        <f>IF(E297=0,0,IF(I277&gt;I297,I277-I297,I297-I277))</f>
        <v>0</v>
      </c>
      <c r="N297" s="218">
        <f>IF(F297=0,0,IF(I277&gt;J297,I277-J297,J297-I277))</f>
        <v>0</v>
      </c>
      <c r="O297" s="213" t="str">
        <f t="shared" si="134"/>
        <v>No Data</v>
      </c>
      <c r="P297" s="214" t="str">
        <f t="shared" si="133"/>
        <v>No Data</v>
      </c>
      <c r="Q297" s="214" t="str">
        <f t="shared" si="125"/>
        <v>No Data</v>
      </c>
      <c r="R297" s="215" t="str">
        <f t="shared" si="132"/>
        <v>No Data</v>
      </c>
      <c r="S297" s="219"/>
      <c r="T297" s="220"/>
      <c r="W297" s="3"/>
    </row>
    <row r="298" spans="1:30" ht="15.75" thickBot="1" x14ac:dyDescent="0.3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226"/>
      <c r="W298" s="3"/>
    </row>
    <row r="299" spans="1:30" ht="15.75" thickBot="1" x14ac:dyDescent="0.3">
      <c r="A299" s="76"/>
      <c r="C299" s="365" t="s">
        <v>53</v>
      </c>
      <c r="D299" s="366"/>
      <c r="E299" s="366"/>
      <c r="F299" s="367"/>
      <c r="G299" s="365" t="s">
        <v>68</v>
      </c>
      <c r="H299" s="366"/>
      <c r="I299" s="367"/>
      <c r="K299" s="223"/>
      <c r="L299" s="224"/>
      <c r="M299" s="224"/>
      <c r="N299" s="224"/>
      <c r="O299" s="224"/>
      <c r="P299" s="225"/>
      <c r="Q299" s="226"/>
      <c r="R299" s="226"/>
      <c r="S299" s="227"/>
      <c r="T299" s="226"/>
      <c r="U299" s="76"/>
      <c r="W299" s="3"/>
    </row>
    <row r="300" spans="1:30" ht="15.75" thickBot="1" x14ac:dyDescent="0.3">
      <c r="A300" s="115" t="s">
        <v>10</v>
      </c>
      <c r="B300" s="116" t="s">
        <v>51</v>
      </c>
      <c r="C300" s="228">
        <v>1</v>
      </c>
      <c r="D300" s="228">
        <v>2</v>
      </c>
      <c r="E300" s="228">
        <v>3</v>
      </c>
      <c r="F300" s="228">
        <v>4</v>
      </c>
      <c r="G300" s="229" t="s">
        <v>69</v>
      </c>
      <c r="H300" s="230" t="s">
        <v>35</v>
      </c>
      <c r="I300" s="230" t="s">
        <v>55</v>
      </c>
      <c r="K300" s="452" t="s">
        <v>134</v>
      </c>
      <c r="L300" s="453"/>
      <c r="M300" s="452" t="s">
        <v>135</v>
      </c>
      <c r="N300" s="453"/>
      <c r="O300" s="452" t="s">
        <v>136</v>
      </c>
      <c r="P300" s="453"/>
      <c r="W300" s="3"/>
    </row>
    <row r="301" spans="1:30" ht="15.75" customHeight="1" thickBot="1" x14ac:dyDescent="0.3">
      <c r="A301" s="125" t="s">
        <v>11</v>
      </c>
      <c r="B301" s="320" t="s">
        <v>6</v>
      </c>
      <c r="C301" s="231" t="str">
        <f>IF(C289=0,"No Data",K289/(F282/100))</f>
        <v>No Data</v>
      </c>
      <c r="D301" s="232" t="str">
        <f>IF(D289=0,"No Data",L289/(F283/100))</f>
        <v>No Data</v>
      </c>
      <c r="E301" s="233" t="str">
        <f>IF(E289=0,"No Data",M289/(F284/100))</f>
        <v>No Data</v>
      </c>
      <c r="F301" s="232" t="str">
        <f>IF(F289=0,"No Data",N289/(F285/100))</f>
        <v>No Data</v>
      </c>
      <c r="G301" s="234" t="str">
        <f>IF(COUNT(O289:R289)=1,"1Fib",IF(COUNT(O289:R289)&lt;2,"No Data",IF(AND(S289&gt;G279,G279&gt;T289),"Yes","No")))</f>
        <v>No Data</v>
      </c>
      <c r="H301" s="235" t="str">
        <f>IF(COUNTBLANK(C289:F289)=4,"No Data",MIN(C301:F301))</f>
        <v>No Data</v>
      </c>
      <c r="I301" s="236"/>
      <c r="K301" s="238" t="str">
        <f>CONCATENATE(IF(L301=1,IF(OR(AND(G301="1Fib",H301&lt;$Z$51),AND(G301="Yes",H301&lt;$Z$51),AND(G301="No",H301&lt;$Z$51)),"Valid","Invalid"),""),IF(L301=2,IF(OR(AND(G301="1Fib",H301&lt;$Z$51),AND(G301="Yes",H301&lt;$Z$51),AND(G301="Yes",H301&gt;$Z$51)),"Valid","Invalid"),""),IF(L301=3,IF(OR(AND(G301="1Fib",H301&lt;$Z$51),AND(G301="Yes",H301&lt;$Z$51),AND(G301="Yes",H301&gt;$Z$51),AND(G301="No",H301&lt;$Z$51)),"Valid","Invalid"),""))</f>
        <v>Invalid</v>
      </c>
      <c r="L301" s="342">
        <v>3</v>
      </c>
      <c r="M301" s="238" t="str">
        <f>CONCATENATE(IF(N301=1,IF(OR(AND(G301="1Fib",H301&lt;$Z$51),AND(G301="Yes",H301&lt;$Z$51),AND(G301="No",H301&lt;$Z$51)),"Valid","Invalid"),""),IF(N301=2,IF(OR(AND(G301="1Fib",H301&lt;$Z$51),AND(G301="Yes",H301&lt;$Z$51),AND(G301="Yes",H301&gt;$Z$51)),"Valid","Invalid"),""),IF(N301=3,IF(OR(AND(G301="1Fib",H301&lt;$Z$51),AND(G301="Yes",H301&lt;$Z$51),AND(G301="Yes",H301&gt;$Z$51),AND(G301="No",H301&lt;$Z$51)),"Valid","Invalid"),""))</f>
        <v>Invalid</v>
      </c>
      <c r="N301" s="342">
        <v>1</v>
      </c>
      <c r="O301" s="238" t="str">
        <f>CONCATENATE(IF(P301=1,IF(OR(AND(G301="1Fib",H301&lt;$Z$51),AND(G301="Yes",H301&lt;$Z$51),AND(G301="No",H301&lt;$Z$51)),"Valid","Invalid"),""),IF(P301=2,IF(OR(AND(G301="1Fib",H301&lt;$Z$51),AND(G301="Yes",H301&lt;$Z$51),AND(G301="Yes",H301&gt;$Z$51)),"Valid","Invalid"),""),IF(P301=3,IF(OR(AND(G301="1Fib",H301&lt;$Z$51),AND(G301="Yes",H301&lt;$Z$51),AND(G301="Yes",H301&gt;$Z$51),AND(G301="No",H301&lt;$Z$51)),"Valid","Invalid"),""))</f>
        <v>Invalid</v>
      </c>
      <c r="P301" s="342">
        <v>3</v>
      </c>
      <c r="Q301" s="242" t="s">
        <v>106</v>
      </c>
      <c r="R301" s="243">
        <f>IF(Z306="Y",I303,MAX(H301, H302, I303))</f>
        <v>57.297297297297334</v>
      </c>
      <c r="S301" s="372" t="str">
        <f>IF(R307="","Structure approved","Structure fault!")</f>
        <v>Structure fault!</v>
      </c>
      <c r="T301" s="373"/>
      <c r="U301" s="374"/>
      <c r="W301" s="3"/>
      <c r="Y301" s="226"/>
      <c r="Z301" s="418" t="s">
        <v>45</v>
      </c>
      <c r="AA301" s="419"/>
      <c r="AB301" s="420"/>
      <c r="AC301" s="226"/>
    </row>
    <row r="302" spans="1:30" ht="15.75" customHeight="1" thickBot="1" x14ac:dyDescent="0.3">
      <c r="A302" s="125" t="s">
        <v>12</v>
      </c>
      <c r="B302" s="324" t="s">
        <v>7</v>
      </c>
      <c r="C302" s="244">
        <f>IF(C290=0,"No Data",K290/(H282/100))</f>
        <v>105.88651478703841</v>
      </c>
      <c r="D302" s="245">
        <f>IF(D290=0,"No Data",L290/(H283/100))</f>
        <v>57.297297297297334</v>
      </c>
      <c r="E302" s="246" t="str">
        <f>IF(E290=0,"No Data",M290/(H284/100))</f>
        <v>No Data</v>
      </c>
      <c r="F302" s="245" t="str">
        <f>IF(F290=0,"No Data",N290/(H285/100))</f>
        <v>No Data</v>
      </c>
      <c r="G302" s="247" t="str">
        <f>IF(COUNT(O290:R290)=1,"1Fib",IF(COUNT(O290:R290)&lt;2,"No Data",IF(AND(S290&gt;I279,I279&gt;T290),"Yes","No")))</f>
        <v>No</v>
      </c>
      <c r="H302" s="270">
        <f>IF(COUNTBLANK(C290:F290)=4,"No Data",MIN(C302:F302))</f>
        <v>57.297297297297334</v>
      </c>
      <c r="I302" s="248"/>
      <c r="K302" s="249" t="str">
        <f>CONCATENATE(IF(L302=1,IF(OR(AND(G302="1Fib",H302&lt;$Z$51),AND(G302="Yes",H302&lt;$Z$51),AND(G302="No",H302&lt;$Z$51)),"Valid","Invalid"),""),IF(L302=2,IF(OR(AND(G302="1Fib",H302&lt;$Z$51),AND(G302="Yes",H302&lt;$Z$51),AND(G302="Yes",H302&gt;$Z$51)),"Valid","Invalid"),""),IF(L302=3,IF(OR(AND(G302="1Fib",H302&lt;$Z$51),AND(G302="Yes",H302&lt;$Z$51),AND(G302="Yes",H302&gt;$Z$51),AND(G302="No",H302&lt;$Z$51)),"Valid","Invalid"),""))</f>
        <v>Invalid</v>
      </c>
      <c r="L302" s="342">
        <v>1</v>
      </c>
      <c r="M302" s="249" t="str">
        <f>CONCATENATE(IF(N302=1,IF(OR(AND(G302="1Fib",H302&lt;$Z$51),AND(G302="Yes",H302&lt;$Z$51),AND(G302="No",H302&lt;$Z$51)),"Valid","Invalid"),""),IF(N302=2,IF(OR(AND(G302="1Fib",H302&lt;$Z$51),AND(G302="Yes",H302&lt;$Z$51),AND(G302="Yes",H302&gt;$Z$51)),"Valid","Invalid"),""),IF(N302=3,IF(OR(AND(G302="1Fib",H302&lt;$Z$51),AND(G302="Yes",H302&lt;$Z$51),AND(G302="Yes",H302&gt;$Z$51),AND(G302="No",H302&lt;$Z$51)),"Valid","Invalid"),""))</f>
        <v>Invalid</v>
      </c>
      <c r="N302" s="342">
        <v>1</v>
      </c>
      <c r="O302" s="249" t="str">
        <f>CONCATENATE(IF(P302=1,IF(OR(AND(G302="1Fib",H302&lt;$Z$51),AND(G302="Yes",H302&lt;$Z$51),AND(G302="No",H302&lt;$Z$51)),"Valid","Invalid"),""),IF(P302=2,IF(OR(AND(G302="1Fib",H302&lt;$Z$51),AND(G302="Yes",H302&lt;$Z$51),AND(G302="Yes",H302&gt;$Z$51)),"Valid","Invalid"),""),IF(P302=3,IF(OR(AND(G302="1Fib",H302&lt;$Z$51),AND(G302="Yes",H302&lt;$Z$51),AND(G302="Yes",H302&gt;$Z$51),AND(G302="No",H302&lt;$Z$51)),"Valid","Invalid"),""))</f>
        <v>Invalid</v>
      </c>
      <c r="P302" s="342">
        <v>3</v>
      </c>
      <c r="Q302" s="250" t="s">
        <v>107</v>
      </c>
      <c r="R302" s="243">
        <f>IF(Z306="Y",I306,MAX(H309,H308,I306))</f>
        <v>6.25</v>
      </c>
      <c r="S302" s="375"/>
      <c r="T302" s="376"/>
      <c r="U302" s="377"/>
      <c r="W302" s="3"/>
      <c r="Y302" s="2"/>
      <c r="Z302" s="95" t="s">
        <v>43</v>
      </c>
      <c r="AB302" s="95" t="s">
        <v>44</v>
      </c>
    </row>
    <row r="303" spans="1:30" ht="15.75" customHeight="1" thickBot="1" x14ac:dyDescent="0.3">
      <c r="A303" s="125" t="s">
        <v>13</v>
      </c>
      <c r="B303" s="324" t="s">
        <v>8</v>
      </c>
      <c r="C303" s="251">
        <f>IF(C291=0,"No Data",K291/(J282/100))</f>
        <v>51.652664975603642</v>
      </c>
      <c r="D303" s="252" t="str">
        <f>IF(D291=0,"No Data",L291/(J283/100))</f>
        <v>No Data</v>
      </c>
      <c r="E303" s="253" t="str">
        <f>IF(E291=0,"No Data",M291/(J284/100))</f>
        <v>No Data</v>
      </c>
      <c r="F303" s="252" t="str">
        <f>IF(F291=0,"No Data",N291/(J285/100))</f>
        <v>No Data</v>
      </c>
      <c r="G303" s="247" t="str">
        <f>IF(COUNT(O291:R291)=1,"1Fib",IF(COUNT(O291:R291)&lt;2,"No Data",IF(AND(S291&gt;K279,K279&gt;T291),"Yes","No")))</f>
        <v>1Fib</v>
      </c>
      <c r="H303" s="270">
        <f>IF(COUNTBLANK(C291:F291)=4,"No Data",MIN(C303:F303))</f>
        <v>51.652664975603642</v>
      </c>
      <c r="I303" s="254">
        <f>MIN(C303:F305)</f>
        <v>51.652664975603642</v>
      </c>
      <c r="J303" s="2" t="s">
        <v>32</v>
      </c>
      <c r="K303" s="249" t="str">
        <f t="shared" ref="K303:K305" si="135">CONCATENATE(IF(L303=1,IF(OR(AND(G303="1Fib",H303&lt;$Z$51),AND(G303="Yes",H303&lt;$Z$51),AND(G303="No",H303&lt;$Z$51)),"Valid","Invalid"),""),IF(L303=2,IF(OR(AND(G303="1Fib",H303&lt;$Z$51),AND(G303="Yes",H303&lt;$Z$51),AND(G303="Yes",H303&gt;$Z$51)),"Valid","Invalid"),""),IF(L303=3,IF(OR(AND(G303="1Fib",H303&lt;$Z$51),AND(G303="Yes",H303&lt;$Z$51),AND(G303="Yes",H303&gt;$Z$51),AND(G303="No",H303&lt;$Z$51)),"Valid","Invalid"),""))</f>
        <v>Invalid</v>
      </c>
      <c r="L303" s="342">
        <v>2</v>
      </c>
      <c r="M303" s="249" t="str">
        <f t="shared" ref="M303:M305" si="136">CONCATENATE(IF(N303=1,IF(OR(AND(G303="1Fib",H303&lt;$Z$51),AND(G303="Yes",H303&lt;$Z$51),AND(G303="No",H303&lt;$Z$51)),"Valid","Invalid"),""),IF(N303=2,IF(OR(AND(G303="1Fib",H303&lt;$Z$51),AND(G303="Yes",H303&lt;$Z$51),AND(G303="Yes",H303&gt;$Z$51)),"Valid","Invalid"),""),IF(N303=3,IF(OR(AND(G303="1Fib",H303&lt;$Z$51),AND(G303="Yes",H303&lt;$Z$51),AND(G303="Yes",H303&gt;$Z$51),AND(G303="No",H303&lt;$Z$51)),"Valid","Invalid"),""))</f>
        <v>Invalid</v>
      </c>
      <c r="N303" s="342">
        <v>1</v>
      </c>
      <c r="O303" s="249" t="str">
        <f t="shared" ref="O303:O305" si="137">CONCATENATE(IF(P303=1,IF(OR(AND(G303="1Fib",H303&lt;$Z$51),AND(G303="Yes",H303&lt;$Z$51),AND(G303="No",H303&lt;$Z$51)),"Valid","Invalid"),""),IF(P303=2,IF(OR(AND(G303="1Fib",H303&lt;$Z$51),AND(G303="Yes",H303&lt;$Z$51),AND(G303="Yes",H303&gt;$Z$51)),"Valid","Invalid"),""),IF(P303=3,IF(OR(AND(G303="1Fib",H303&lt;$Z$51),AND(G303="Yes",H303&lt;$Z$51),AND(G303="Yes",H303&gt;$Z$51),AND(G303="No",H303&lt;$Z$51)),"Valid","Invalid"),""))</f>
        <v>Invalid</v>
      </c>
      <c r="P303" s="342">
        <v>3</v>
      </c>
      <c r="Q303" s="242" t="s">
        <v>108</v>
      </c>
      <c r="R303" s="243">
        <f>IF(Z306="Y",MAX(H303:H305),MAX(H301,H302,I303,I306,H308,H309))</f>
        <v>57.297297297297334</v>
      </c>
      <c r="S303" s="375"/>
      <c r="T303" s="376"/>
      <c r="U303" s="377"/>
      <c r="W303" s="3"/>
      <c r="Y303" s="255" t="s">
        <v>28</v>
      </c>
      <c r="Z303" s="256">
        <f>Z267</f>
        <v>8</v>
      </c>
      <c r="AA303" s="2" t="s">
        <v>15</v>
      </c>
      <c r="AB303" s="256">
        <f>AB267</f>
        <v>10</v>
      </c>
      <c r="AC303" s="2" t="s">
        <v>15</v>
      </c>
    </row>
    <row r="304" spans="1:30" ht="15.75" customHeight="1" thickBot="1" x14ac:dyDescent="0.3">
      <c r="A304" s="125" t="s">
        <v>14</v>
      </c>
      <c r="B304" s="324" t="s">
        <v>6</v>
      </c>
      <c r="C304" s="251">
        <f>IF(C292=0,"No Data",K292/(L282/100))</f>
        <v>56.666666666666636</v>
      </c>
      <c r="D304" s="252" t="str">
        <f>IF(D292=0,"No Data",L292/(L283/100))</f>
        <v>No Data</v>
      </c>
      <c r="E304" s="253" t="str">
        <f>IF(E292=0,"No Data",M292/(L284/100))</f>
        <v>No Data</v>
      </c>
      <c r="F304" s="252" t="str">
        <f>IF(F292=0,"No Data",N292/(L285/100))</f>
        <v>No Data</v>
      </c>
      <c r="G304" s="247" t="str">
        <f>IF(COUNT(O292:R292)=1,"1Fib",IF(COUNT(O292:R292)&lt;2,"No Data",IF(AND(S292&gt;K279,K279&gt;T292),"Yes","No")))</f>
        <v>1Fib</v>
      </c>
      <c r="H304" s="270">
        <f>IF(COUNTBLANK(C292:F292)=4,"No Data",MIN(C304:F304))</f>
        <v>56.666666666666636</v>
      </c>
      <c r="I304" s="257">
        <f>MAX(O291:R293)-MIN(O291:R293)</f>
        <v>0.11648600000000009</v>
      </c>
      <c r="J304" s="2" t="s">
        <v>40</v>
      </c>
      <c r="K304" s="249" t="str">
        <f t="shared" si="135"/>
        <v>Invalid</v>
      </c>
      <c r="L304" s="342">
        <v>3</v>
      </c>
      <c r="M304" s="249" t="str">
        <f t="shared" si="136"/>
        <v>Invalid</v>
      </c>
      <c r="N304" s="342">
        <v>1</v>
      </c>
      <c r="O304" s="249" t="str">
        <f t="shared" si="137"/>
        <v>Invalid</v>
      </c>
      <c r="P304" s="342">
        <v>3</v>
      </c>
      <c r="Q304" s="242" t="s">
        <v>54</v>
      </c>
      <c r="R304" s="258">
        <f>SUM(H301,H302,I303)/COUNT(H301,H302,I303)</f>
        <v>54.474981136450488</v>
      </c>
      <c r="S304" s="375"/>
      <c r="T304" s="376"/>
      <c r="U304" s="377"/>
      <c r="W304" s="3"/>
      <c r="Y304" s="95"/>
      <c r="Z304" s="2"/>
      <c r="AA304" s="95"/>
      <c r="AB304" s="95"/>
      <c r="AC304" s="259"/>
    </row>
    <row r="305" spans="1:30" ht="15.75" customHeight="1" thickBot="1" x14ac:dyDescent="0.3">
      <c r="A305" s="125" t="s">
        <v>29</v>
      </c>
      <c r="B305" s="331" t="s">
        <v>7</v>
      </c>
      <c r="C305" s="260">
        <f>IF(C293=0,"No Data",K293/(N282/100))</f>
        <v>176.63789443894152</v>
      </c>
      <c r="D305" s="261">
        <f>IF(D293=0,"No Data",L293/(N283/100))</f>
        <v>111.3513513513513</v>
      </c>
      <c r="E305" s="262">
        <f>IF(E293=0,"No Data",M293/(N284/100))</f>
        <v>70.996238957403961</v>
      </c>
      <c r="F305" s="261" t="str">
        <f>IF(F293=0,"No Data",N293/(N285/100))</f>
        <v>No Data</v>
      </c>
      <c r="G305" s="263" t="str">
        <f>IF(COUNT(O293:R293)=1,"1Fib",IF(COUNT(O293:R293)&lt;2,"No Data",IF(AND(S293&gt;K279,K279&gt;T293),"Yes","No")))</f>
        <v>No</v>
      </c>
      <c r="H305" s="264">
        <f>IF(COUNTBLANK(C293:F293)=4,"No Data",MIN(C305:F305))</f>
        <v>70.996238957403961</v>
      </c>
      <c r="I305" s="265">
        <f>COUNT(C303:F305)</f>
        <v>5</v>
      </c>
      <c r="J305" s="2" t="s">
        <v>41</v>
      </c>
      <c r="K305" s="249" t="str">
        <f t="shared" si="135"/>
        <v>Invalid</v>
      </c>
      <c r="L305" s="342">
        <v>2</v>
      </c>
      <c r="M305" s="249" t="str">
        <f t="shared" si="136"/>
        <v>Invalid</v>
      </c>
      <c r="N305" s="342">
        <v>1</v>
      </c>
      <c r="O305" s="249" t="str">
        <f t="shared" si="137"/>
        <v>Invalid</v>
      </c>
      <c r="P305" s="342">
        <v>3</v>
      </c>
      <c r="Q305" s="250" t="s">
        <v>48</v>
      </c>
      <c r="R305" s="243">
        <f>SUM(I306,H308,H309)/COUNT(I306,H308,H309)</f>
        <v>2.2367902617062785</v>
      </c>
      <c r="S305" s="375"/>
      <c r="T305" s="376"/>
      <c r="U305" s="377"/>
      <c r="W305" s="3"/>
      <c r="Y305" s="2"/>
      <c r="Z305" s="95" t="s">
        <v>38</v>
      </c>
      <c r="AB305" s="95"/>
      <c r="AC305" s="310"/>
    </row>
    <row r="306" spans="1:30" ht="16.5" customHeight="1" thickTop="1" thickBot="1" x14ac:dyDescent="0.3">
      <c r="A306" s="12" t="s">
        <v>47</v>
      </c>
      <c r="B306" s="335" t="s">
        <v>6</v>
      </c>
      <c r="C306" s="268">
        <f>IF(C294=0,"No Data",K294/(G294/100))</f>
        <v>27.323656735421455</v>
      </c>
      <c r="D306" s="268">
        <f t="shared" ref="D306:D309" si="138">IF(D294=0,"No Data",L294/(H294/100))</f>
        <v>19.645848289064361</v>
      </c>
      <c r="E306" s="268">
        <f t="shared" ref="E306:E309" si="139">IF(E294=0,"No Data",M294/(I294/100))</f>
        <v>15.500115500115498</v>
      </c>
      <c r="F306" s="268">
        <f t="shared" ref="F306:F309" si="140">IF(F294=0,"No Data",N294/(J294/100))</f>
        <v>11.111111111111111</v>
      </c>
      <c r="G306" s="269"/>
      <c r="H306" s="270">
        <f>IF(COUNTIF(C294:F294,0)=4,"No Data",MIN(C306:F306))</f>
        <v>11.111111111111111</v>
      </c>
      <c r="I306" s="254">
        <f>MIN(C306:F307)</f>
        <v>6.25</v>
      </c>
      <c r="K306" s="363">
        <f>COUNTIFS(G301:K305,"Valid")</f>
        <v>0</v>
      </c>
      <c r="M306" s="363">
        <f>COUNTIFS(M301:M305,"Valid")</f>
        <v>0</v>
      </c>
      <c r="O306" s="363">
        <f>COUNTIFS(O301:O305,"Valid")</f>
        <v>0</v>
      </c>
      <c r="Q306" s="250" t="s">
        <v>56</v>
      </c>
      <c r="R306" s="243">
        <f>SUM(H301,H302,I303,I306,H308,H309)/COUNT(H301,H302,I303,I306,H308,H309)</f>
        <v>23.132066611603964</v>
      </c>
      <c r="S306" s="378"/>
      <c r="T306" s="379"/>
      <c r="U306" s="380"/>
      <c r="W306" s="3"/>
      <c r="Y306" s="255" t="s">
        <v>36</v>
      </c>
      <c r="Z306" s="256" t="s">
        <v>57</v>
      </c>
      <c r="AA306" s="255"/>
      <c r="AB306" s="256"/>
      <c r="AC306" s="272"/>
    </row>
    <row r="307" spans="1:30" ht="15.75" customHeight="1" thickBot="1" x14ac:dyDescent="0.3">
      <c r="A307" s="12" t="s">
        <v>47</v>
      </c>
      <c r="B307" s="340" t="s">
        <v>74</v>
      </c>
      <c r="C307" s="273">
        <f t="shared" ref="C307:C309" si="141">IF(C295=0,"No Data",K295/(G295/100))</f>
        <v>6.25</v>
      </c>
      <c r="D307" s="273">
        <f t="shared" si="138"/>
        <v>15.883807169344864</v>
      </c>
      <c r="E307" s="273" t="str">
        <f t="shared" si="139"/>
        <v>No Data</v>
      </c>
      <c r="F307" s="273" t="str">
        <f t="shared" si="140"/>
        <v>No Data</v>
      </c>
      <c r="G307" s="269"/>
      <c r="H307" s="235">
        <f>IF(COUNTIF(C295:F295,0)=4,"No Data",MIN(C307:F307))</f>
        <v>6.25</v>
      </c>
      <c r="I307" s="235"/>
      <c r="K307" s="439" t="s">
        <v>116</v>
      </c>
      <c r="L307" s="439"/>
      <c r="M307" s="439"/>
      <c r="N307" s="439"/>
      <c r="O307" s="439"/>
      <c r="P307" s="439"/>
      <c r="Q307" s="274"/>
      <c r="R307" s="397" t="str">
        <f>CONCATENATE(IF(Y281="Y",Z281,""),IF(Y282="Y",Z282,""),IF(Y283="Y",Z283,""),IF(Y284="Y",Z284,""),IF(Y285="Y",Z285,""),IF(Y286="Y",Z286,""),IF(Y287="Y",Z287,""),IF(Y288="Y",Z288,""),IF(Y289="Y",Z289,""),IF(Y290="Y",Z290,""),IF(Y291="Y",Z291,""),IF(Y292="Y",Z292,""),IF(Y293="Y",Z293,""),IF(Y294="Y",Z294,""),IF(Y295="Y",Z295,""))</f>
        <v xml:space="preserve">[Weak Structure: More than 8 % Price deviation][Structure Violation: E passed C] </v>
      </c>
      <c r="S307" s="398"/>
      <c r="T307" s="398"/>
      <c r="U307" s="399"/>
      <c r="W307" s="3"/>
      <c r="Y307" s="2"/>
      <c r="Z307" s="2"/>
      <c r="AC307" s="259"/>
    </row>
    <row r="308" spans="1:30" ht="15.75" thickBot="1" x14ac:dyDescent="0.3">
      <c r="A308" s="12" t="s">
        <v>46</v>
      </c>
      <c r="B308" s="139" t="s">
        <v>6</v>
      </c>
      <c r="C308" s="273">
        <f t="shared" si="141"/>
        <v>9.8750171679714249</v>
      </c>
      <c r="D308" s="273">
        <f t="shared" si="138"/>
        <v>0.46037078511883545</v>
      </c>
      <c r="E308" s="273" t="str">
        <f t="shared" si="139"/>
        <v>No Data</v>
      </c>
      <c r="F308" s="273" t="str">
        <f t="shared" si="140"/>
        <v>No Data</v>
      </c>
      <c r="G308" s="275"/>
      <c r="H308" s="235">
        <f>IF(COUNTIF(C296:F296,0)=4,"No Data",MIN(C308:F308))</f>
        <v>0.46037078511883545</v>
      </c>
      <c r="I308" s="235"/>
      <c r="K308" s="440" t="s">
        <v>126</v>
      </c>
      <c r="L308" s="440"/>
      <c r="M308" s="440"/>
      <c r="N308" s="440"/>
      <c r="O308" s="440"/>
      <c r="P308" s="440"/>
      <c r="Q308" s="276" t="s">
        <v>34</v>
      </c>
      <c r="R308" s="400"/>
      <c r="S308" s="401"/>
      <c r="T308" s="401"/>
      <c r="U308" s="402"/>
      <c r="W308" s="3"/>
      <c r="Y308" s="2"/>
      <c r="Z308" s="2"/>
      <c r="AC308" s="259"/>
    </row>
    <row r="309" spans="1:30" ht="15.75" thickBot="1" x14ac:dyDescent="0.3">
      <c r="A309" s="12" t="s">
        <v>66</v>
      </c>
      <c r="B309" s="354" t="s">
        <v>6</v>
      </c>
      <c r="C309" s="277" t="str">
        <f t="shared" si="141"/>
        <v>No Data</v>
      </c>
      <c r="D309" s="277" t="str">
        <f t="shared" si="138"/>
        <v>No Data</v>
      </c>
      <c r="E309" s="277" t="str">
        <f t="shared" si="139"/>
        <v>No Data</v>
      </c>
      <c r="F309" s="277" t="str">
        <f t="shared" si="140"/>
        <v>No Data</v>
      </c>
      <c r="G309" s="278"/>
      <c r="H309" s="235">
        <f>IF(COUNTIF(C297:F297,0)=4,"No Data",MIN(C309:F309))</f>
        <v>0</v>
      </c>
      <c r="I309" s="235"/>
      <c r="K309" s="440" t="s">
        <v>127</v>
      </c>
      <c r="L309" s="440"/>
      <c r="M309" s="440"/>
      <c r="N309" s="440"/>
      <c r="O309" s="440"/>
      <c r="P309" s="440"/>
      <c r="Q309" s="250"/>
      <c r="R309" s="403"/>
      <c r="S309" s="404"/>
      <c r="T309" s="404"/>
      <c r="U309" s="405"/>
      <c r="W309" s="3"/>
      <c r="Y309" s="2"/>
      <c r="Z309" s="256"/>
      <c r="AA309" s="255"/>
      <c r="AB309" s="256"/>
      <c r="AC309" s="259"/>
    </row>
    <row r="310" spans="1:30" x14ac:dyDescent="0.25">
      <c r="I310" s="279"/>
      <c r="J310" s="281"/>
      <c r="K310" s="283"/>
      <c r="L310" s="283"/>
      <c r="M310" s="284"/>
      <c r="N310" s="285"/>
      <c r="O310" s="283"/>
      <c r="P310" s="283"/>
      <c r="W310" s="3"/>
    </row>
    <row r="311" spans="1:30" s="292" customFormat="1" ht="27.75" customHeight="1" x14ac:dyDescent="0.25">
      <c r="A311" s="3"/>
      <c r="B311" s="3"/>
      <c r="C311" s="3"/>
      <c r="D311" s="289"/>
      <c r="E311" s="290"/>
      <c r="F311" s="290"/>
      <c r="G311" s="290"/>
      <c r="M311" s="290"/>
      <c r="N311" s="290"/>
      <c r="O311" s="3"/>
      <c r="P311" s="293"/>
      <c r="Q311" s="294"/>
      <c r="R311" s="295"/>
      <c r="S311" s="295"/>
      <c r="T311" s="3"/>
      <c r="W311" s="3"/>
      <c r="Y311" s="296"/>
      <c r="Z311" s="297"/>
    </row>
    <row r="312" spans="1:30" ht="15.75" thickBot="1" x14ac:dyDescent="0.3">
      <c r="A312" s="78"/>
      <c r="B312" s="78"/>
      <c r="C312" s="78"/>
      <c r="D312" s="298"/>
      <c r="E312" s="259"/>
      <c r="F312" s="259"/>
      <c r="G312" s="259"/>
      <c r="H312" s="259"/>
      <c r="I312" s="259"/>
      <c r="J312" s="259"/>
      <c r="K312" s="259"/>
      <c r="L312" s="259"/>
      <c r="M312" s="259"/>
      <c r="N312" s="259"/>
      <c r="O312" s="78"/>
      <c r="P312" s="78"/>
      <c r="Q312" s="78"/>
      <c r="R312" s="78"/>
      <c r="S312" s="78"/>
      <c r="W312" s="3"/>
    </row>
    <row r="313" spans="1:30" s="89" customFormat="1" ht="16.5" customHeight="1" thickBot="1" x14ac:dyDescent="0.3">
      <c r="A313" s="82"/>
      <c r="B313" s="299" t="s">
        <v>95</v>
      </c>
      <c r="C313" s="425">
        <f>C277</f>
        <v>0</v>
      </c>
      <c r="D313" s="426"/>
      <c r="E313" s="425">
        <f>E277</f>
        <v>9</v>
      </c>
      <c r="F313" s="426"/>
      <c r="G313" s="425">
        <f>G277</f>
        <v>16</v>
      </c>
      <c r="H313" s="426"/>
      <c r="I313" s="425">
        <f>I277</f>
        <v>23</v>
      </c>
      <c r="J313" s="426"/>
      <c r="K313" s="425">
        <f>K277</f>
        <v>30</v>
      </c>
      <c r="L313" s="426"/>
      <c r="M313" s="425">
        <f>M277</f>
        <v>33</v>
      </c>
      <c r="N313" s="426"/>
      <c r="O313" s="395"/>
      <c r="P313" s="395"/>
      <c r="Q313" s="395"/>
      <c r="R313" s="395"/>
      <c r="S313" s="395"/>
      <c r="T313" s="395"/>
      <c r="U313" s="395"/>
      <c r="V313" s="395"/>
      <c r="W313" s="3"/>
      <c r="Y313" s="4"/>
      <c r="Z313" s="5"/>
    </row>
    <row r="314" spans="1:30" ht="34.5" thickBot="1" x14ac:dyDescent="0.3">
      <c r="A314" s="300" t="s">
        <v>26</v>
      </c>
      <c r="B314" s="360">
        <v>8</v>
      </c>
      <c r="C314" s="421" t="s">
        <v>5</v>
      </c>
      <c r="D314" s="422"/>
      <c r="E314" s="421" t="s">
        <v>1</v>
      </c>
      <c r="F314" s="422"/>
      <c r="G314" s="421" t="s">
        <v>2</v>
      </c>
      <c r="H314" s="422"/>
      <c r="I314" s="421" t="s">
        <v>3</v>
      </c>
      <c r="J314" s="422"/>
      <c r="K314" s="421" t="s">
        <v>4</v>
      </c>
      <c r="L314" s="422"/>
      <c r="M314" s="421" t="s">
        <v>93</v>
      </c>
      <c r="N314" s="422"/>
      <c r="O314" s="396"/>
      <c r="P314" s="396"/>
      <c r="Q314" s="396"/>
      <c r="R314" s="396"/>
      <c r="S314" s="396"/>
      <c r="T314" s="396"/>
      <c r="U314" s="396"/>
      <c r="V314" s="396"/>
      <c r="W314" s="3"/>
      <c r="X314" s="302" t="str">
        <f>A314</f>
        <v>Leonardo</v>
      </c>
      <c r="Y314" s="361"/>
      <c r="Z314" s="362"/>
    </row>
    <row r="315" spans="1:30" ht="15.75" customHeight="1" thickBot="1" x14ac:dyDescent="0.3">
      <c r="A315" s="90"/>
      <c r="B315" s="91" t="s">
        <v>96</v>
      </c>
      <c r="C315" s="447">
        <f>C279</f>
        <v>1.8</v>
      </c>
      <c r="D315" s="448"/>
      <c r="E315" s="447">
        <f>E279</f>
        <v>1.2</v>
      </c>
      <c r="F315" s="448"/>
      <c r="G315" s="447">
        <f>G279</f>
        <v>1.57</v>
      </c>
      <c r="H315" s="448"/>
      <c r="I315" s="447">
        <f>I279</f>
        <v>1.2789999999999999</v>
      </c>
      <c r="J315" s="448"/>
      <c r="K315" s="447">
        <f>K279</f>
        <v>1.67</v>
      </c>
      <c r="L315" s="448"/>
      <c r="M315" s="447">
        <f>M279</f>
        <v>0</v>
      </c>
      <c r="N315" s="448"/>
      <c r="O315" s="394"/>
      <c r="P315" s="394"/>
      <c r="Q315" s="394"/>
      <c r="R315" s="394"/>
      <c r="S315" s="394"/>
      <c r="T315" s="394"/>
      <c r="U315" s="394"/>
      <c r="V315" s="394"/>
      <c r="W315" s="3"/>
    </row>
    <row r="316" spans="1:30" ht="34.5" thickBot="1" x14ac:dyDescent="0.3">
      <c r="A316" s="92"/>
      <c r="B316" s="92"/>
      <c r="C316" s="93" t="s">
        <v>16</v>
      </c>
      <c r="D316" s="430" t="s">
        <v>6</v>
      </c>
      <c r="E316" s="431"/>
      <c r="F316" s="430" t="s">
        <v>7</v>
      </c>
      <c r="G316" s="431"/>
      <c r="H316" s="430" t="s">
        <v>8</v>
      </c>
      <c r="I316" s="431"/>
      <c r="J316" s="430" t="s">
        <v>9</v>
      </c>
      <c r="K316" s="431"/>
      <c r="L316" s="449" t="s">
        <v>30</v>
      </c>
      <c r="M316" s="393"/>
      <c r="N316" s="449" t="s">
        <v>31</v>
      </c>
      <c r="O316" s="393"/>
      <c r="P316" s="304"/>
      <c r="Q316" s="78"/>
      <c r="R316" s="78"/>
      <c r="W316" s="3"/>
      <c r="Y316" s="305" t="s">
        <v>36</v>
      </c>
      <c r="Z316" s="230" t="s">
        <v>71</v>
      </c>
      <c r="AA316" s="306" t="s">
        <v>80</v>
      </c>
      <c r="AB316" s="307"/>
      <c r="AC316" s="307"/>
      <c r="AD316" s="308"/>
    </row>
    <row r="317" spans="1:30" ht="15.75" thickBot="1" x14ac:dyDescent="0.3">
      <c r="A317" s="441"/>
      <c r="B317" s="442"/>
      <c r="C317" s="93" t="s">
        <v>33</v>
      </c>
      <c r="D317" s="423">
        <f>IF(C315&lt;E315,E315-C315,C315-E315)</f>
        <v>0.60000000000000009</v>
      </c>
      <c r="E317" s="424"/>
      <c r="F317" s="423">
        <f>IF(G315&lt;E315,E315-G315,G315-E315)</f>
        <v>0.37000000000000011</v>
      </c>
      <c r="G317" s="424"/>
      <c r="H317" s="423">
        <f>IF(I315&lt;G315,G315-I315,I315-G315)</f>
        <v>0.29100000000000015</v>
      </c>
      <c r="I317" s="424"/>
      <c r="J317" s="423">
        <f>IF(K315&lt;I315,I315-K315,K315-I315)</f>
        <v>0.39100000000000001</v>
      </c>
      <c r="K317" s="424"/>
      <c r="L317" s="423">
        <f>IF(C315&lt;E315,E315-C315,C315-E315)</f>
        <v>0.60000000000000009</v>
      </c>
      <c r="M317" s="424"/>
      <c r="N317" s="423">
        <f>IF(E315&lt;G315,G315-E315,E315-G315)</f>
        <v>0.37000000000000011</v>
      </c>
      <c r="O317" s="424"/>
      <c r="P317" s="78"/>
      <c r="Q317" s="76"/>
      <c r="R317" s="76"/>
      <c r="W317" s="3"/>
      <c r="X317" s="2">
        <v>1</v>
      </c>
      <c r="Y317" s="311" t="s">
        <v>70</v>
      </c>
      <c r="Z317" s="312" t="str">
        <f>IF(R337&gt;Z339,CONCATENATE("[Weak Structure: More than ",Z339," % Price deviation]"),"")</f>
        <v>[Weak Structure: More than 8 % Price deviation]</v>
      </c>
      <c r="AA317" s="381" t="s">
        <v>72</v>
      </c>
      <c r="AB317" s="382"/>
      <c r="AC317" s="382"/>
      <c r="AD317" s="383"/>
    </row>
    <row r="318" spans="1:30" ht="15.75" thickBot="1" x14ac:dyDescent="0.3">
      <c r="A318" s="443"/>
      <c r="B318" s="444"/>
      <c r="C318" s="93" t="s">
        <v>18</v>
      </c>
      <c r="D318" s="437" t="s">
        <v>17</v>
      </c>
      <c r="E318" s="438"/>
      <c r="F318" s="437">
        <f>IF(C325&gt;0,(D317*C325),"No Data")</f>
        <v>0.30000000000000004</v>
      </c>
      <c r="G318" s="438"/>
      <c r="H318" s="437">
        <f>IF(C326&gt;0,(F317*C326),"No Data")</f>
        <v>0.14134000000000005</v>
      </c>
      <c r="I318" s="438"/>
      <c r="J318" s="437">
        <f>IF(C327&gt;0,(H317*C327),"No Data")</f>
        <v>0.32824800000000015</v>
      </c>
      <c r="K318" s="438"/>
      <c r="L318" s="437">
        <f>IF(C328&gt;0,(L317*C328),"No Data")</f>
        <v>0.47160000000000007</v>
      </c>
      <c r="M318" s="438"/>
      <c r="N318" s="437">
        <f>IF(C329&gt;0,(N317*C329),"No Data")</f>
        <v>0.37000000000000011</v>
      </c>
      <c r="O318" s="438"/>
      <c r="P318" s="314"/>
      <c r="Q318" s="76"/>
      <c r="R318" s="76"/>
      <c r="W318" s="3"/>
      <c r="X318" s="2">
        <v>2</v>
      </c>
      <c r="Y318" s="311" t="s">
        <v>57</v>
      </c>
      <c r="Z318" s="312" t="str">
        <f>IF(R338&gt;AB339,CONCATENATE("[Weak Structure: More than ",AB339," % Time deviation]"),"")</f>
        <v/>
      </c>
      <c r="AA318" s="381" t="s">
        <v>73</v>
      </c>
      <c r="AB318" s="382"/>
      <c r="AC318" s="382"/>
      <c r="AD318" s="383"/>
    </row>
    <row r="319" spans="1:30" ht="15.75" thickBot="1" x14ac:dyDescent="0.3">
      <c r="A319" s="443"/>
      <c r="B319" s="444"/>
      <c r="C319" s="93" t="s">
        <v>19</v>
      </c>
      <c r="D319" s="437" t="s">
        <v>17</v>
      </c>
      <c r="E319" s="438"/>
      <c r="F319" s="437" t="str">
        <f>IF(D325&gt;0,(D317*D325),"No Data")</f>
        <v>No Data</v>
      </c>
      <c r="G319" s="438"/>
      <c r="H319" s="437">
        <f>IF(D326&gt;0,(F317*D326),"No Data")</f>
        <v>0.32782000000000011</v>
      </c>
      <c r="I319" s="438"/>
      <c r="J319" s="437">
        <f>IF(D327&gt;0,(H317*D327),"No Data")</f>
        <v>0.76183800000000035</v>
      </c>
      <c r="K319" s="438"/>
      <c r="L319" s="437" t="str">
        <f>IF(D328&gt;0,(L317*D328),"No Data")</f>
        <v>No Data</v>
      </c>
      <c r="M319" s="438"/>
      <c r="N319" s="437" t="str">
        <f>IF(D329&gt;0,(N317*D329),"No Data")</f>
        <v>No Data</v>
      </c>
      <c r="O319" s="438"/>
      <c r="P319" s="314"/>
      <c r="Q319" s="76"/>
      <c r="R319" s="76"/>
      <c r="W319" s="3"/>
      <c r="X319" s="2">
        <v>3</v>
      </c>
      <c r="Y319" s="311"/>
      <c r="Z319" s="315"/>
      <c r="AA319" s="381"/>
      <c r="AB319" s="382"/>
      <c r="AC319" s="382"/>
      <c r="AD319" s="383"/>
    </row>
    <row r="320" spans="1:30" ht="15.75" thickBot="1" x14ac:dyDescent="0.3">
      <c r="A320" s="443"/>
      <c r="B320" s="444"/>
      <c r="C320" s="93" t="s">
        <v>20</v>
      </c>
      <c r="D320" s="437" t="s">
        <v>17</v>
      </c>
      <c r="E320" s="438"/>
      <c r="F320" s="437" t="str">
        <f>IF(E325&gt;0,(D317*E325),"No Data")</f>
        <v>No Data</v>
      </c>
      <c r="G320" s="438"/>
      <c r="H320" s="437" t="str">
        <f>IF(E326&gt;0,(F317*E326),"No Data")</f>
        <v>No Data</v>
      </c>
      <c r="I320" s="438"/>
      <c r="J320" s="437" t="str">
        <f>IF(E327&gt;0,(H317*E327),"No Data")</f>
        <v>No Data</v>
      </c>
      <c r="K320" s="438"/>
      <c r="L320" s="437" t="str">
        <f>IF(E328&gt;0,(L317*E328),"No Data")</f>
        <v>No Data</v>
      </c>
      <c r="M320" s="438"/>
      <c r="N320" s="437" t="str">
        <f>IF(E329&gt;0,(N317*E329),"No Data")</f>
        <v>No Data</v>
      </c>
      <c r="O320" s="438"/>
      <c r="P320" s="314"/>
      <c r="Q320" s="76"/>
      <c r="R320" s="76"/>
      <c r="W320" s="3"/>
      <c r="X320" s="2">
        <v>4</v>
      </c>
      <c r="Y320" s="311"/>
      <c r="Z320" s="317"/>
      <c r="AA320" s="381"/>
      <c r="AB320" s="382"/>
      <c r="AC320" s="382"/>
      <c r="AD320" s="383"/>
    </row>
    <row r="321" spans="1:30" ht="15.75" thickBot="1" x14ac:dyDescent="0.3">
      <c r="A321" s="445"/>
      <c r="B321" s="446"/>
      <c r="C321" s="93" t="s">
        <v>21</v>
      </c>
      <c r="D321" s="437" t="s">
        <v>17</v>
      </c>
      <c r="E321" s="438"/>
      <c r="F321" s="437" t="str">
        <f>IF(F325&gt;0,(D317*F325),"No Data")</f>
        <v>No Data</v>
      </c>
      <c r="G321" s="438"/>
      <c r="H321" s="437" t="str">
        <f>IF(F326&gt;0,(F317*F326),"No Data")</f>
        <v>No Data</v>
      </c>
      <c r="I321" s="438"/>
      <c r="J321" s="437" t="str">
        <f>IF(F327&gt;0,(H317*F327),"No Data")</f>
        <v>No Data</v>
      </c>
      <c r="K321" s="438"/>
      <c r="L321" s="437" t="str">
        <f>IF(F328&gt;0,(L317*F328),"No Data")</f>
        <v>No Data</v>
      </c>
      <c r="M321" s="438"/>
      <c r="N321" s="437" t="str">
        <f>IF(F329&gt;0,(N317*F329),"No Data")</f>
        <v>No Data</v>
      </c>
      <c r="O321" s="438"/>
      <c r="P321" s="314"/>
      <c r="Q321" s="76"/>
      <c r="R321" s="76"/>
      <c r="W321" s="3"/>
      <c r="X321" s="2">
        <v>5</v>
      </c>
      <c r="Y321" s="311" t="s">
        <v>70</v>
      </c>
      <c r="Z321" s="312" t="str">
        <f>IF(C315&gt;E315,IF(AND(C315&gt;E315,E315&lt;G315,G315&gt;I315,I315&lt;K315),"","[No Structure found] "),IF(AND(C315&lt;E315,E315&gt;G315,G315&lt;I315,I315&gt;K315),"","[No Structure found] "))</f>
        <v/>
      </c>
      <c r="AA321" s="381" t="s">
        <v>81</v>
      </c>
      <c r="AB321" s="382"/>
      <c r="AC321" s="382"/>
      <c r="AD321" s="383"/>
    </row>
    <row r="322" spans="1:30" ht="19.5" thickBot="1" x14ac:dyDescent="0.3">
      <c r="A322" s="432" t="str">
        <f>CONCATENATE(IF(C315&gt;E315,"Bearish",""),(IF(C315&lt;E315,"Bullish","")))</f>
        <v>Bearish</v>
      </c>
      <c r="B322" s="433"/>
      <c r="N322" s="114"/>
      <c r="W322" s="3"/>
      <c r="X322" s="2">
        <v>6</v>
      </c>
      <c r="Y322" s="311" t="s">
        <v>70</v>
      </c>
      <c r="Z322" s="312" t="str">
        <f>CONCATENATE(IF(AND(C315&gt;E315,K315&gt;C315),"[Structure Violation: D passed X] ",""),IF(AND(C315&lt;E315,K315&lt;C315),"[Structure Violation: D passed X] ",""))</f>
        <v/>
      </c>
      <c r="AA322" s="381" t="s">
        <v>83</v>
      </c>
      <c r="AB322" s="382"/>
      <c r="AC322" s="382"/>
      <c r="AD322" s="383"/>
    </row>
    <row r="323" spans="1:30" ht="15.75" thickBot="1" x14ac:dyDescent="0.3">
      <c r="C323" s="418" t="s">
        <v>50</v>
      </c>
      <c r="D323" s="419"/>
      <c r="E323" s="419"/>
      <c r="F323" s="420"/>
      <c r="G323" s="427" t="s">
        <v>49</v>
      </c>
      <c r="H323" s="428"/>
      <c r="I323" s="428"/>
      <c r="J323" s="429"/>
      <c r="K323" s="427" t="s">
        <v>52</v>
      </c>
      <c r="L323" s="428"/>
      <c r="M323" s="428"/>
      <c r="N323" s="428"/>
      <c r="O323" s="427" t="s">
        <v>67</v>
      </c>
      <c r="P323" s="428"/>
      <c r="Q323" s="428"/>
      <c r="R323" s="429"/>
      <c r="S323" s="384" t="s">
        <v>65</v>
      </c>
      <c r="T323" s="385"/>
      <c r="W323" s="3"/>
      <c r="X323" s="2">
        <v>7</v>
      </c>
      <c r="Y323" s="311" t="s">
        <v>70</v>
      </c>
      <c r="Z323" s="318" t="str">
        <f>CONCATENATE(IF(AND(C315&gt;E315,I315&lt;E315),"[Structure Violation: C passed A] ",""),IF(AND(C315&lt;E315,I315&gt;E315),"[Structure Violation: C passed A] ",""))</f>
        <v/>
      </c>
      <c r="AA323" s="381" t="s">
        <v>84</v>
      </c>
      <c r="AB323" s="382"/>
      <c r="AC323" s="382"/>
      <c r="AD323" s="383"/>
    </row>
    <row r="324" spans="1:30" ht="15.75" thickBot="1" x14ac:dyDescent="0.3">
      <c r="A324" s="115" t="s">
        <v>10</v>
      </c>
      <c r="B324" s="116" t="s">
        <v>51</v>
      </c>
      <c r="C324" s="319">
        <v>1</v>
      </c>
      <c r="D324" s="319">
        <v>2</v>
      </c>
      <c r="E324" s="319">
        <v>3</v>
      </c>
      <c r="F324" s="319">
        <v>4</v>
      </c>
      <c r="G324" s="118">
        <v>1</v>
      </c>
      <c r="H324" s="118">
        <v>2</v>
      </c>
      <c r="I324" s="118">
        <v>3</v>
      </c>
      <c r="J324" s="118">
        <v>4</v>
      </c>
      <c r="K324" s="119">
        <v>1</v>
      </c>
      <c r="L324" s="119">
        <v>2</v>
      </c>
      <c r="M324" s="119">
        <v>3</v>
      </c>
      <c r="N324" s="120">
        <v>4</v>
      </c>
      <c r="O324" s="118">
        <v>1</v>
      </c>
      <c r="P324" s="119">
        <v>2</v>
      </c>
      <c r="Q324" s="118">
        <v>3</v>
      </c>
      <c r="R324" s="119">
        <v>4</v>
      </c>
      <c r="S324" s="121" t="s">
        <v>63</v>
      </c>
      <c r="T324" s="122" t="s">
        <v>64</v>
      </c>
      <c r="W324" s="3"/>
      <c r="X324" s="2">
        <v>8</v>
      </c>
      <c r="Y324" s="311" t="s">
        <v>70</v>
      </c>
      <c r="Z324" s="312" t="str">
        <f>CONCATENATE(IF(AND(C315&gt;E315,G315&gt;C315),"[Structure Violaton: B passed X] ",""),IF(AND(C315&lt;E315,G315&lt;C315),"[Structure Violation: B passed X] ",""))</f>
        <v/>
      </c>
      <c r="AA324" s="381" t="s">
        <v>85</v>
      </c>
      <c r="AB324" s="382"/>
      <c r="AC324" s="382"/>
      <c r="AD324" s="383"/>
    </row>
    <row r="325" spans="1:30" ht="15.75" thickBot="1" x14ac:dyDescent="0.3">
      <c r="A325" s="125" t="s">
        <v>11</v>
      </c>
      <c r="B325" s="320" t="s">
        <v>6</v>
      </c>
      <c r="C325" s="321">
        <v>0.5</v>
      </c>
      <c r="D325" s="322"/>
      <c r="E325" s="322"/>
      <c r="F325" s="323"/>
      <c r="G325" s="130">
        <f>IF(C315&gt;E315,IF(C325&gt;0,E315+(D317*C325),0),IF(C325&gt;0,E315-(D317*C325),0))</f>
        <v>1.5</v>
      </c>
      <c r="H325" s="131">
        <f>IF(C315&gt;E315,IF(D325&gt;0,E315+(D317*D325),0),IF(D325&gt;0,E315-(D317*D325),0))</f>
        <v>0</v>
      </c>
      <c r="I325" s="131">
        <f>IF(C315&gt;E315,IF(E325&gt;0,E315+(D317*E325),0),IF(E325&gt;0,E315-(D317*E325),0))</f>
        <v>0</v>
      </c>
      <c r="J325" s="131">
        <f>IF(C315&gt;E315,IF(F325&gt;0,E315+(D317*F325),0),IF(F325&gt;0,E315-(D317*F325),0))</f>
        <v>0</v>
      </c>
      <c r="K325" s="133">
        <f>IF(C325&gt;0,IF(G325&lt;G315,G315-G325,G325-G315),0)</f>
        <v>7.0000000000000062E-2</v>
      </c>
      <c r="L325" s="134">
        <f>IF(D325&gt;0,IF(H325&lt;G315,G315-H325,H325-G315),0)</f>
        <v>0</v>
      </c>
      <c r="M325" s="134">
        <f>IF(E325&gt;0,IF(I325&lt;G315,G315-I325,I325-G315),0)</f>
        <v>0</v>
      </c>
      <c r="N325" s="135">
        <f>IF(F325&gt;0,IF(J325&lt;G315,G315-J325,J325-G315),0)</f>
        <v>0</v>
      </c>
      <c r="O325" s="130">
        <f t="shared" ref="O325:O327" si="142">IF(C325=0,"No Data",G325)</f>
        <v>1.5</v>
      </c>
      <c r="P325" s="131" t="str">
        <f t="shared" ref="P325:P327" si="143">IF(D325=0,"No Data",H325)</f>
        <v>No Data</v>
      </c>
      <c r="Q325" s="131" t="str">
        <f t="shared" ref="Q325:Q333" si="144">IF(E325=0,"No Data",I325)</f>
        <v>No Data</v>
      </c>
      <c r="R325" s="132" t="str">
        <f t="shared" ref="R325:R327" si="145">IF(F325=0,"No Data",J325)</f>
        <v>No Data</v>
      </c>
      <c r="S325" s="136">
        <f t="shared" ref="S325:S329" si="146">MAX(O325:R325)</f>
        <v>1.5</v>
      </c>
      <c r="T325" s="137">
        <f t="shared" ref="T325:T326" si="147">MIN(O325:R325)</f>
        <v>1.5</v>
      </c>
      <c r="W325" s="3"/>
      <c r="X325" s="2">
        <v>9</v>
      </c>
      <c r="Y325" s="311" t="s">
        <v>57</v>
      </c>
      <c r="Z325" s="312" t="str">
        <f>CONCATENATE(IF(AND(C315&gt;E315,I315&gt;E315),"[Structure Violation: C above A] ",""),IF(AND(C315&lt;E315,I315&lt;E315),"[Structure Violation: C below A] ",""))</f>
        <v xml:space="preserve">[Structure Violation: C above A] </v>
      </c>
      <c r="AA325" s="381" t="s">
        <v>86</v>
      </c>
      <c r="AB325" s="382"/>
      <c r="AC325" s="382"/>
      <c r="AD325" s="383"/>
    </row>
    <row r="326" spans="1:30" ht="15.75" thickBot="1" x14ac:dyDescent="0.3">
      <c r="A326" s="125" t="s">
        <v>12</v>
      </c>
      <c r="B326" s="324" t="s">
        <v>7</v>
      </c>
      <c r="C326" s="325">
        <v>0.38200000000000001</v>
      </c>
      <c r="D326" s="326">
        <v>0.88600000000000001</v>
      </c>
      <c r="E326" s="326"/>
      <c r="F326" s="327"/>
      <c r="G326" s="143">
        <f>IF(C315&gt;E315,IF(C326&gt;0,G315-(F317*C326),0),IF(C326&gt;0,G315+(F317*C326),0))</f>
        <v>1.42866</v>
      </c>
      <c r="H326" s="144">
        <f>IF(C315&gt;E315,IF(D326&gt;0,G315-(F317*D326),0),IF(D326&gt;0,G315+(F317*D326),0))</f>
        <v>1.2421799999999998</v>
      </c>
      <c r="I326" s="144">
        <f>IF(C315&gt;E315,IF(E326&gt;0,G315-(F317*E326),0),IF(E326&gt;0,G315+(F317*E326),0))</f>
        <v>0</v>
      </c>
      <c r="J326" s="328">
        <f>IF(C315&gt;E315,IF(F326&gt;0,G315-(F317*F326),0),IF(F326&gt;0,G315+(F317*F326),0))</f>
        <v>0</v>
      </c>
      <c r="K326" s="146">
        <f>IF(C326&gt;0,IF(G326&lt;I315,I315-G326,G326-I315),0)</f>
        <v>0.14966000000000013</v>
      </c>
      <c r="L326" s="147">
        <f>IF(D326&gt;0,IF(H326&lt;I315,I315-H326,H326-I315),0)</f>
        <v>3.6820000000000075E-2</v>
      </c>
      <c r="M326" s="147">
        <f>IF(E326&gt;0,IF(I326&lt;I315,I315-I326,I326-I315),0)</f>
        <v>0</v>
      </c>
      <c r="N326" s="148">
        <f>IF(F326&gt;0,IF(J326&lt;I315,I315-J326,J326-I315),0)</f>
        <v>0</v>
      </c>
      <c r="O326" s="143">
        <f t="shared" si="142"/>
        <v>1.42866</v>
      </c>
      <c r="P326" s="144">
        <f t="shared" si="143"/>
        <v>1.2421799999999998</v>
      </c>
      <c r="Q326" s="144" t="str">
        <f t="shared" si="144"/>
        <v>No Data</v>
      </c>
      <c r="R326" s="145" t="str">
        <f t="shared" si="145"/>
        <v>No Data</v>
      </c>
      <c r="S326" s="149">
        <f t="shared" si="146"/>
        <v>1.42866</v>
      </c>
      <c r="T326" s="150">
        <f t="shared" si="147"/>
        <v>1.2421799999999998</v>
      </c>
      <c r="W326" s="3"/>
      <c r="X326" s="2">
        <v>10</v>
      </c>
      <c r="Y326" s="311" t="s">
        <v>57</v>
      </c>
      <c r="Z326" s="318" t="str">
        <f>CONCATENATE(IF(AND(C315&gt;E315,G315&gt;K315),"[Structure Violation: B above D] ",""),IF(AND(C315&lt;E315,G315&lt;K315),"[Structure Violation: B below D] ",""))</f>
        <v/>
      </c>
      <c r="AA326" s="381" t="s">
        <v>87</v>
      </c>
      <c r="AB326" s="382"/>
      <c r="AC326" s="382"/>
      <c r="AD326" s="383"/>
    </row>
    <row r="327" spans="1:30" ht="15.75" thickBot="1" x14ac:dyDescent="0.3">
      <c r="A327" s="125" t="s">
        <v>13</v>
      </c>
      <c r="B327" s="324" t="s">
        <v>8</v>
      </c>
      <c r="C327" s="325">
        <v>1.1279999999999999</v>
      </c>
      <c r="D327" s="326">
        <v>2.6179999999999999</v>
      </c>
      <c r="E327" s="326"/>
      <c r="F327" s="327"/>
      <c r="G327" s="143">
        <f>IF(C315&gt;E315,IF(C327&gt;0,I315+(H317*C327),0),IF(C327&gt;0,I315-(H317*C327),0))</f>
        <v>1.607248</v>
      </c>
      <c r="H327" s="144">
        <f>IF(C315&gt;E315,IF(D327&gt;0,I315+(H317*D327),0),IF(D327&gt;0,I315-(H317*D327),0))</f>
        <v>2.0408380000000004</v>
      </c>
      <c r="I327" s="144">
        <f>IF(C315&gt;E315,IF(E327&gt;0,I315+(H317*E327),0),IF(E327&gt;0,I315-(H317*E327),0))</f>
        <v>0</v>
      </c>
      <c r="J327" s="328">
        <f>IF(C315&gt;E315,IF(F327&gt;0,I315+(H317*F327),0),IF(F327&gt;0,I315-(H317*F327),0))</f>
        <v>0</v>
      </c>
      <c r="K327" s="146">
        <f>IF(C327&gt;0,IF(G327&lt;K315,K315-G327,G327-K315),0)</f>
        <v>6.2751999999999919E-2</v>
      </c>
      <c r="L327" s="147">
        <f>IF(D327&gt;0,IF(H327&lt;K315,K315-H327,H327-K315),0)</f>
        <v>0.37083800000000045</v>
      </c>
      <c r="M327" s="147">
        <f>IF(E327&gt;0,IF(I327&lt;K315,K315-I327,I327-K315),0)</f>
        <v>0</v>
      </c>
      <c r="N327" s="148">
        <f>IF(F327&gt;0,IF(J327&lt;K315,K315-J327,J327-K315),0)</f>
        <v>0</v>
      </c>
      <c r="O327" s="143">
        <f t="shared" si="142"/>
        <v>1.607248</v>
      </c>
      <c r="P327" s="144">
        <f t="shared" si="143"/>
        <v>2.0408380000000004</v>
      </c>
      <c r="Q327" s="144" t="str">
        <f t="shared" si="144"/>
        <v>No Data</v>
      </c>
      <c r="R327" s="145" t="str">
        <f t="shared" si="145"/>
        <v>No Data</v>
      </c>
      <c r="S327" s="151">
        <f t="shared" si="146"/>
        <v>2.0408380000000004</v>
      </c>
      <c r="T327" s="150">
        <f>MIN(O327:R327)</f>
        <v>1.607248</v>
      </c>
      <c r="W327" s="3"/>
      <c r="X327" s="2">
        <v>11</v>
      </c>
      <c r="Y327" s="311" t="s">
        <v>57</v>
      </c>
      <c r="Z327" s="312" t="str">
        <f>CONCATENATE(IF(AND(C315&gt;E315,K315&lt;C315),"[Structure Violation: D below X] ",""),IF(AND(C315&lt;E315,K315&gt;C315),"[Structure Violation: D above X] ",""))</f>
        <v xml:space="preserve">[Structure Violation: D below X] </v>
      </c>
      <c r="AA327" s="381" t="s">
        <v>88</v>
      </c>
      <c r="AB327" s="382"/>
      <c r="AC327" s="382"/>
      <c r="AD327" s="383"/>
    </row>
    <row r="328" spans="1:30" ht="15.75" thickBot="1" x14ac:dyDescent="0.3">
      <c r="A328" s="125" t="s">
        <v>14</v>
      </c>
      <c r="B328" s="324" t="s">
        <v>6</v>
      </c>
      <c r="C328" s="325">
        <v>0.78600000000000003</v>
      </c>
      <c r="D328" s="326"/>
      <c r="E328" s="326"/>
      <c r="F328" s="327"/>
      <c r="G328" s="152">
        <f>IF(C315&gt;E315,IF(C328&gt;0,E315+(D317*C328),0),IF(C328&gt;0,E315-(D317*C328),0))</f>
        <v>1.6716</v>
      </c>
      <c r="H328" s="144">
        <f>IF(C315&gt;E315,IF(D328&gt;0,E315+(D317*D328),0),IF(D328&gt;0,E315-(D317*D328),0))</f>
        <v>0</v>
      </c>
      <c r="I328" s="144">
        <f>IF(C315&gt;E315,IF(E328&gt;0,E315+(D317*E328),0),IF(E328&gt;0,E315-(D317*E328),0))</f>
        <v>0</v>
      </c>
      <c r="J328" s="329">
        <f>IF(C315&gt;E315,IF(F328&gt;0,E315+(D317*F328),0),IF(F328&gt;0,E315-(D317*F328),0))</f>
        <v>0</v>
      </c>
      <c r="K328" s="146">
        <f>IF(C328&gt;0,IF(G328&lt;K315,K315-G328,G328-K315),0)</f>
        <v>1.6000000000000458E-3</v>
      </c>
      <c r="L328" s="147">
        <f>IF(D328&gt;0,IF(H328&lt;K315,K315-H328,H328-K315),0)</f>
        <v>0</v>
      </c>
      <c r="M328" s="147">
        <f>IF(E328&gt;0,IF(I328&lt;K315,K315-I328,I328-K315),0)</f>
        <v>0</v>
      </c>
      <c r="N328" s="148">
        <f>IF(F328&gt;0,IF(J328&lt;K315,K315-J328,J328-K315),0)</f>
        <v>0</v>
      </c>
      <c r="O328" s="152">
        <f>IF(C328=0,"No Data",G328)</f>
        <v>1.6716</v>
      </c>
      <c r="P328" s="144" t="str">
        <f>IF(D328=0,"No Data",H328)</f>
        <v>No Data</v>
      </c>
      <c r="Q328" s="144" t="str">
        <f t="shared" si="144"/>
        <v>No Data</v>
      </c>
      <c r="R328" s="153" t="str">
        <f>IF(F328=0,"No Data",J328)</f>
        <v>No Data</v>
      </c>
      <c r="S328" s="149">
        <f t="shared" si="146"/>
        <v>1.6716</v>
      </c>
      <c r="T328" s="150">
        <f t="shared" ref="T328:T329" si="148">MIN(O328:R328)</f>
        <v>1.6716</v>
      </c>
      <c r="W328" s="3"/>
      <c r="X328" s="2">
        <v>12</v>
      </c>
      <c r="Y328" s="311" t="s">
        <v>57</v>
      </c>
      <c r="Z328" s="312" t="str">
        <f>CONCATENATE(IF(AND(C315&gt;E315,K315&gt;G315),"[Structure Violation: D passed B] ",""),IF(AND(C315&lt;E315,K315&lt;G315),"[Structure Violation: D passed B] ",""))</f>
        <v xml:space="preserve">[Structure Violation: D passed B] </v>
      </c>
      <c r="AA328" s="381" t="s">
        <v>89</v>
      </c>
      <c r="AB328" s="382"/>
      <c r="AC328" s="382"/>
      <c r="AD328" s="383"/>
    </row>
    <row r="329" spans="1:30" ht="15.75" thickBot="1" x14ac:dyDescent="0.3">
      <c r="A329" s="125" t="s">
        <v>29</v>
      </c>
      <c r="B329" s="331" t="s">
        <v>7</v>
      </c>
      <c r="C329" s="332">
        <v>1</v>
      </c>
      <c r="D329" s="333"/>
      <c r="E329" s="333"/>
      <c r="F329" s="334"/>
      <c r="G329" s="159">
        <f>IF(C315&gt;E315,IF(C329&gt;0,I315+(F317*C329),0),IF(C329&gt;0,I315-(F317*C329),0))</f>
        <v>1.649</v>
      </c>
      <c r="H329" s="160">
        <f>IF(C315&gt;E315,IF(D329&gt;0,I315+(F317*D329),0),IF(D329&gt;0,I315-(F317*D329),0))</f>
        <v>0</v>
      </c>
      <c r="I329" s="160">
        <f>IF(C315&gt;E315,IF(E329&gt;0,I315+(F317*E329),0),IF(E329&gt;0,I315-(F317*E329),0))</f>
        <v>0</v>
      </c>
      <c r="J329" s="160">
        <f>IF(C315&gt;E315,IF(F329&gt;0,I315+(F317*F329),0),IF(F329&gt;0,I315-(F317*F329),0))</f>
        <v>0</v>
      </c>
      <c r="K329" s="162">
        <f>IF(C329&gt;0,IF(G329&lt;K315,K315-G329,G329-K315),0)</f>
        <v>2.0999999999999908E-2</v>
      </c>
      <c r="L329" s="163">
        <f>IF(D329&gt;0,IF(H329&lt;K315,K315-H329,H329-K315),0)</f>
        <v>0</v>
      </c>
      <c r="M329" s="163">
        <f>IF(E329&gt;0,IF(I329&lt;K315,K315-I329,I329-K315),0)</f>
        <v>0</v>
      </c>
      <c r="N329" s="164">
        <f>IF(F329&gt;0,IF(J329&lt;K315,K315-J329,J329-K315),0)</f>
        <v>0</v>
      </c>
      <c r="O329" s="159">
        <f t="shared" ref="O329" si="149">IF(C329=0,"No Data",G329)</f>
        <v>1.649</v>
      </c>
      <c r="P329" s="160" t="str">
        <f t="shared" ref="P329" si="150">IF(D329=0,"No Data",H329)</f>
        <v>No Data</v>
      </c>
      <c r="Q329" s="160" t="str">
        <f t="shared" si="144"/>
        <v>No Data</v>
      </c>
      <c r="R329" s="161" t="str">
        <f t="shared" ref="R329:R333" si="151">IF(F329=0,"No Data",J329)</f>
        <v>No Data</v>
      </c>
      <c r="S329" s="165">
        <f t="shared" si="146"/>
        <v>1.649</v>
      </c>
      <c r="T329" s="166">
        <f t="shared" si="148"/>
        <v>1.649</v>
      </c>
      <c r="W329" s="3"/>
      <c r="X329" s="2">
        <v>13</v>
      </c>
      <c r="Y329" s="311" t="s">
        <v>57</v>
      </c>
      <c r="Z329" s="312" t="str">
        <f>CONCATENATE(IF(AND(C315&gt;E315,G315&lt;C315),"[Structure Violation: B below X] ",""),IF(AND(C315&lt;E315,G315&gt;C315),"[Structure Violation: B above X] ",""))</f>
        <v xml:space="preserve">[Structure Violation: B below X] </v>
      </c>
      <c r="AA329" s="381" t="s">
        <v>90</v>
      </c>
      <c r="AB329" s="382"/>
      <c r="AC329" s="382"/>
      <c r="AD329" s="383"/>
    </row>
    <row r="330" spans="1:30" ht="16.5" thickTop="1" thickBot="1" x14ac:dyDescent="0.3">
      <c r="A330" s="12" t="s">
        <v>47</v>
      </c>
      <c r="B330" s="335" t="s">
        <v>6</v>
      </c>
      <c r="C330" s="336">
        <v>2</v>
      </c>
      <c r="D330" s="337">
        <v>2.6179999999999999</v>
      </c>
      <c r="E330" s="337">
        <v>2.786</v>
      </c>
      <c r="F330" s="338"/>
      <c r="G330" s="339">
        <f>E313*C330</f>
        <v>18</v>
      </c>
      <c r="H330" s="174">
        <f>E313*D330</f>
        <v>23.561999999999998</v>
      </c>
      <c r="I330" s="175">
        <f>E313*E330</f>
        <v>25.074000000000002</v>
      </c>
      <c r="J330" s="176">
        <f>E313*F330</f>
        <v>0</v>
      </c>
      <c r="K330" s="177">
        <f>IF(C330=0,0,IF(K313&gt;G330,K313-G330,G330-K313))</f>
        <v>12</v>
      </c>
      <c r="L330" s="178">
        <f>IF(D330=0,0,IF(K313&gt;H330,K313-H330,H330-K313))</f>
        <v>6.4380000000000024</v>
      </c>
      <c r="M330" s="178">
        <f>IF(E330=0,0,IF(K313&gt;I330,K313-I330,I330-K313))</f>
        <v>4.9259999999999984</v>
      </c>
      <c r="N330" s="179">
        <f>IF(F330=0,0,IF(K313&gt;J330,K313-J330,J330-K313))</f>
        <v>0</v>
      </c>
      <c r="O330" s="339">
        <f>IF(C330=0,"No Data",G330)</f>
        <v>18</v>
      </c>
      <c r="P330" s="174">
        <f>IF(D330=0,"No Data",H330)</f>
        <v>23.561999999999998</v>
      </c>
      <c r="Q330" s="175">
        <f t="shared" si="144"/>
        <v>25.074000000000002</v>
      </c>
      <c r="R330" s="176" t="str">
        <f t="shared" si="151"/>
        <v>No Data</v>
      </c>
      <c r="S330" s="180"/>
      <c r="T330" s="181"/>
      <c r="W330" s="3"/>
      <c r="X330" s="2">
        <v>14</v>
      </c>
      <c r="Y330" s="311" t="s">
        <v>57</v>
      </c>
      <c r="Z330" s="312" t="str">
        <f>CONCATENATE(IF(AND(E315&gt;G315,M315&gt;I315),"[Structure Violation: E passed C] ",""),IF(AND(E315&lt;G315,M315&lt;I315),"[Structure Violation: E passed C] ",""))</f>
        <v xml:space="preserve">[Structure Violation: E passed C] </v>
      </c>
      <c r="AA330" s="381" t="s">
        <v>94</v>
      </c>
      <c r="AB330" s="382"/>
      <c r="AC330" s="382"/>
      <c r="AD330" s="383"/>
    </row>
    <row r="331" spans="1:30" ht="15.75" thickBot="1" x14ac:dyDescent="0.3">
      <c r="A331" s="12" t="s">
        <v>47</v>
      </c>
      <c r="B331" s="340" t="s">
        <v>74</v>
      </c>
      <c r="C331" s="341">
        <v>2</v>
      </c>
      <c r="D331" s="342">
        <v>2.2360000000000002</v>
      </c>
      <c r="E331" s="342"/>
      <c r="F331" s="351"/>
      <c r="G331" s="191">
        <f>G313*C331</f>
        <v>32</v>
      </c>
      <c r="H331" s="186">
        <f>G313*D331</f>
        <v>35.776000000000003</v>
      </c>
      <c r="I331" s="186">
        <f>G313*E331</f>
        <v>0</v>
      </c>
      <c r="J331" s="344">
        <f>G313*F331</f>
        <v>0</v>
      </c>
      <c r="K331" s="345">
        <f>IF(C331=0,0,IF(K313&gt;G331,K313-G331,G331-K313))</f>
        <v>2</v>
      </c>
      <c r="L331" s="189">
        <f>IF(D331=0,0,IF(K313&gt;H331,K313-H331,H331-K313))</f>
        <v>5.7760000000000034</v>
      </c>
      <c r="M331" s="189">
        <f>IF(E331=0,0,IF(K313&gt;I331,K313-I331,I331-K313))</f>
        <v>0</v>
      </c>
      <c r="N331" s="178">
        <f>IF(F331=0,0,IF(K313&gt;J331,K313-J331,J331-K313))</f>
        <v>0</v>
      </c>
      <c r="O331" s="191">
        <f>IF(C331=0,"No Data",G331)</f>
        <v>32</v>
      </c>
      <c r="P331" s="186">
        <f t="shared" ref="P331:P333" si="152">IF(D331=0,"No Data",H331)</f>
        <v>35.776000000000003</v>
      </c>
      <c r="Q331" s="186" t="str">
        <f t="shared" si="144"/>
        <v>No Data</v>
      </c>
      <c r="R331" s="344" t="str">
        <f t="shared" si="151"/>
        <v>No Data</v>
      </c>
      <c r="S331" s="195"/>
      <c r="T331" s="196"/>
      <c r="W331" s="3"/>
      <c r="X331" s="2">
        <v>15</v>
      </c>
      <c r="Y331" s="311" t="s">
        <v>57</v>
      </c>
      <c r="Z331" s="317"/>
      <c r="AA331" s="346"/>
      <c r="AB331" s="347"/>
      <c r="AC331" s="347"/>
      <c r="AD331" s="348"/>
    </row>
    <row r="332" spans="1:30" ht="15.75" thickBot="1" x14ac:dyDescent="0.3">
      <c r="A332" s="12" t="s">
        <v>46</v>
      </c>
      <c r="B332" s="139" t="s">
        <v>6</v>
      </c>
      <c r="C332" s="349">
        <v>1</v>
      </c>
      <c r="D332" s="350">
        <v>1.6180000000000001</v>
      </c>
      <c r="E332" s="350">
        <v>1.786</v>
      </c>
      <c r="F332" s="343"/>
      <c r="G332" s="201">
        <f>E313*C332</f>
        <v>9</v>
      </c>
      <c r="H332" s="202">
        <f>E313*D332</f>
        <v>14.562000000000001</v>
      </c>
      <c r="I332" s="202">
        <f>E313*E332</f>
        <v>16.074000000000002</v>
      </c>
      <c r="J332" s="203">
        <f>E313*F332</f>
        <v>0</v>
      </c>
      <c r="K332" s="204">
        <f>IF(C332=0,0,IF(G313&gt;G332,G313-G332,G332-G313))</f>
        <v>7</v>
      </c>
      <c r="L332" s="205">
        <f>IF(D332=0,0,IF(G313&gt;H332,G313-H332,H332-G313))</f>
        <v>1.4379999999999988</v>
      </c>
      <c r="M332" s="205">
        <f>IF(E332=0,0,IF(G313&gt;I332,G313-I332,I332-G313))</f>
        <v>7.400000000000162E-2</v>
      </c>
      <c r="N332" s="206">
        <f>IF(F332=0,0,IF(G313&gt;J332,G313-J332,J332-G313))</f>
        <v>0</v>
      </c>
      <c r="O332" s="201">
        <f t="shared" ref="O332:O333" si="153">IF(C332=0,"No Data",G332)</f>
        <v>9</v>
      </c>
      <c r="P332" s="202">
        <f t="shared" si="152"/>
        <v>14.562000000000001</v>
      </c>
      <c r="Q332" s="202">
        <f t="shared" si="144"/>
        <v>16.074000000000002</v>
      </c>
      <c r="R332" s="203" t="str">
        <f t="shared" si="151"/>
        <v>No Data</v>
      </c>
      <c r="S332" s="207"/>
      <c r="T332" s="208"/>
      <c r="W332" s="3"/>
    </row>
    <row r="333" spans="1:30" ht="15.75" thickBot="1" x14ac:dyDescent="0.3">
      <c r="A333" s="12" t="s">
        <v>66</v>
      </c>
      <c r="B333" s="354" t="s">
        <v>6</v>
      </c>
      <c r="C333" s="355"/>
      <c r="D333" s="356"/>
      <c r="E333" s="356"/>
      <c r="F333" s="357"/>
      <c r="G333" s="213">
        <f>E313*C333</f>
        <v>0</v>
      </c>
      <c r="H333" s="214">
        <f>E313*D333</f>
        <v>0</v>
      </c>
      <c r="I333" s="214">
        <f>E313*E333</f>
        <v>0</v>
      </c>
      <c r="J333" s="215">
        <f>E313*F333</f>
        <v>0</v>
      </c>
      <c r="K333" s="216">
        <f>IF(C333=0,0,IF(I313&gt;G333,I313-G333,G333-I313))</f>
        <v>0</v>
      </c>
      <c r="L333" s="217">
        <f>IF(D333=0,0,IF(I313&gt;H333,I313-H333,H333-I313))</f>
        <v>0</v>
      </c>
      <c r="M333" s="217">
        <f>IF(E333=0,0,IF(I313&gt;I333,I313-I333,I333-I313))</f>
        <v>0</v>
      </c>
      <c r="N333" s="218">
        <f>IF(F333=0,0,IF(I313&gt;J333,I313-J333,J333-I313))</f>
        <v>0</v>
      </c>
      <c r="O333" s="213" t="str">
        <f t="shared" si="153"/>
        <v>No Data</v>
      </c>
      <c r="P333" s="214" t="str">
        <f t="shared" si="152"/>
        <v>No Data</v>
      </c>
      <c r="Q333" s="214" t="str">
        <f t="shared" si="144"/>
        <v>No Data</v>
      </c>
      <c r="R333" s="215" t="str">
        <f t="shared" si="151"/>
        <v>No Data</v>
      </c>
      <c r="S333" s="219"/>
      <c r="T333" s="220"/>
      <c r="W333" s="3"/>
    </row>
    <row r="334" spans="1:30" ht="15.75" thickBot="1" x14ac:dyDescent="0.3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226"/>
      <c r="W334" s="3"/>
    </row>
    <row r="335" spans="1:30" ht="15.75" thickBot="1" x14ac:dyDescent="0.3">
      <c r="A335" s="76"/>
      <c r="C335" s="365" t="s">
        <v>53</v>
      </c>
      <c r="D335" s="366"/>
      <c r="E335" s="366"/>
      <c r="F335" s="367"/>
      <c r="G335" s="365" t="s">
        <v>68</v>
      </c>
      <c r="H335" s="366"/>
      <c r="I335" s="367"/>
      <c r="K335" s="223"/>
      <c r="L335" s="224"/>
      <c r="M335" s="224"/>
      <c r="N335" s="224"/>
      <c r="O335" s="224"/>
      <c r="P335" s="225"/>
      <c r="Q335" s="226"/>
      <c r="R335" s="226"/>
      <c r="S335" s="227"/>
      <c r="T335" s="226"/>
      <c r="U335" s="76"/>
      <c r="W335" s="3"/>
    </row>
    <row r="336" spans="1:30" ht="15.75" thickBot="1" x14ac:dyDescent="0.3">
      <c r="A336" s="115" t="s">
        <v>10</v>
      </c>
      <c r="B336" s="116" t="s">
        <v>51</v>
      </c>
      <c r="C336" s="228">
        <v>1</v>
      </c>
      <c r="D336" s="228">
        <v>2</v>
      </c>
      <c r="E336" s="228">
        <v>3</v>
      </c>
      <c r="F336" s="228">
        <v>4</v>
      </c>
      <c r="G336" s="229" t="s">
        <v>69</v>
      </c>
      <c r="H336" s="230" t="s">
        <v>35</v>
      </c>
      <c r="I336" s="230" t="s">
        <v>55</v>
      </c>
      <c r="K336" s="452" t="s">
        <v>134</v>
      </c>
      <c r="L336" s="453"/>
      <c r="M336" s="452" t="s">
        <v>135</v>
      </c>
      <c r="N336" s="453"/>
      <c r="O336" s="452" t="s">
        <v>136</v>
      </c>
      <c r="P336" s="453"/>
      <c r="W336" s="3"/>
    </row>
    <row r="337" spans="1:30" ht="15.75" customHeight="1" thickBot="1" x14ac:dyDescent="0.3">
      <c r="A337" s="125" t="s">
        <v>11</v>
      </c>
      <c r="B337" s="320" t="s">
        <v>6</v>
      </c>
      <c r="C337" s="231">
        <f>IF(C325=0,"No Data",K325/(F318/100))</f>
        <v>23.33333333333335</v>
      </c>
      <c r="D337" s="232" t="str">
        <f>IF(D325=0,"No Data",L325/(F319/100))</f>
        <v>No Data</v>
      </c>
      <c r="E337" s="233" t="str">
        <f>IF(E325=0,"No Data",M325/(F320/100))</f>
        <v>No Data</v>
      </c>
      <c r="F337" s="232" t="str">
        <f>IF(F325=0,"No Data",N325/(F321/100))</f>
        <v>No Data</v>
      </c>
      <c r="G337" s="234" t="str">
        <f>IF(COUNT(O325:R325)=1,"1Fib",IF(COUNT(O325:R325)&lt;2,"No Data",IF(AND(S325&gt;G315,G315&gt;T325),"Yes","No")))</f>
        <v>1Fib</v>
      </c>
      <c r="H337" s="235">
        <f>IF(COUNTBLANK(C325:F325)=4,"No Data",MIN(C337:F337))</f>
        <v>23.33333333333335</v>
      </c>
      <c r="I337" s="236"/>
      <c r="K337" s="238" t="str">
        <f>CONCATENATE(IF(L337=1,IF(OR(AND(G337="1Fib",H337&lt;$Z$51),AND(G337="Yes",H337&lt;$Z$51),AND(G337="No",H337&lt;$Z$51)),"Valid","Invalid"),""),IF(L337=2,IF(OR(AND(G337="1Fib",H337&lt;$Z$51),AND(G337="Yes",H337&lt;$Z$51),AND(G337="Yes",H337&gt;$Z$51)),"Valid","Invalid"),""),IF(L337=3,IF(OR(AND(G337="1Fib",H337&lt;$Z$51),AND(G337="Yes",H337&lt;$Z$51),AND(G337="Yes",H337&gt;$Z$51),AND(G337="No",H337&lt;$Z$51)),"Valid","Invalid"),""))</f>
        <v>Invalid</v>
      </c>
      <c r="L337" s="342">
        <v>1</v>
      </c>
      <c r="M337" s="238" t="str">
        <f>CONCATENATE(IF(N337=1,IF(OR(AND(G337="1Fib",H337&lt;$Z$51),AND(G337="Yes",H337&lt;$Z$51),AND(G337="No",H337&lt;$Z$51)),"Valid","Invalid"),""),IF(N337=2,IF(OR(AND(G337="1Fib",H337&lt;$Z$51),AND(G337="Yes",H337&lt;$Z$51),AND(G337="Yes",H337&gt;$Z$51)),"Valid","Invalid"),""),IF(N337=3,IF(OR(AND(G337="1Fib",H337&lt;$Z$51),AND(G337="Yes",H337&lt;$Z$51),AND(G337="Yes",H337&gt;$Z$51),AND(G337="No",H337&lt;$Z$51)),"Valid","Invalid"),""))</f>
        <v>Invalid</v>
      </c>
      <c r="N337" s="342">
        <v>1</v>
      </c>
      <c r="O337" s="238" t="str">
        <f>CONCATENATE(IF(P337=1,IF(OR(AND(G337="1Fib",H337&lt;$Z$51),AND(G337="Yes",H337&lt;$Z$51),AND(G337="No",H337&lt;$Z$51)),"Valid","Invalid"),""),IF(P337=2,IF(OR(AND(G337="1Fib",H337&lt;$Z$51),AND(G337="Yes",H337&lt;$Z$51),AND(G337="Yes",H337&gt;$Z$51)),"Valid","Invalid"),""),IF(P337=3,IF(OR(AND(G337="1Fib",H337&lt;$Z$51),AND(G337="Yes",H337&lt;$Z$51),AND(G337="Yes",H337&gt;$Z$51),AND(G337="No",H337&lt;$Z$51)),"Valid","Invalid"),""))</f>
        <v>Invalid</v>
      </c>
      <c r="P337" s="342">
        <v>3</v>
      </c>
      <c r="Q337" s="242" t="s">
        <v>106</v>
      </c>
      <c r="R337" s="243">
        <f>IF(Z342="Y",I339,MAX(H337, H338, I339))</f>
        <v>23.33333333333335</v>
      </c>
      <c r="S337" s="372" t="str">
        <f>IF(R343="","Structure approved","Structure fault!")</f>
        <v>Structure fault!</v>
      </c>
      <c r="T337" s="373"/>
      <c r="U337" s="374"/>
      <c r="W337" s="3"/>
      <c r="Y337" s="226"/>
      <c r="Z337" s="418" t="s">
        <v>45</v>
      </c>
      <c r="AA337" s="419"/>
      <c r="AB337" s="420"/>
      <c r="AC337" s="226"/>
    </row>
    <row r="338" spans="1:30" ht="15.75" customHeight="1" thickBot="1" x14ac:dyDescent="0.3">
      <c r="A338" s="125" t="s">
        <v>12</v>
      </c>
      <c r="B338" s="324" t="s">
        <v>7</v>
      </c>
      <c r="C338" s="244">
        <f>IF(C326=0,"No Data",K326/(H318/100))</f>
        <v>105.88651478703841</v>
      </c>
      <c r="D338" s="245">
        <f>IF(D326=0,"No Data",L326/(H319/100))</f>
        <v>11.231773534256623</v>
      </c>
      <c r="E338" s="246" t="str">
        <f>IF(E326=0,"No Data",M326/(H320/100))</f>
        <v>No Data</v>
      </c>
      <c r="F338" s="245" t="str">
        <f>IF(F326=0,"No Data",N326/(H321/100))</f>
        <v>No Data</v>
      </c>
      <c r="G338" s="247" t="str">
        <f>IF(COUNT(O326:R326)=1,"1Fib",IF(COUNT(O326:R326)&lt;2,"No Data",IF(AND(S326&gt;I315,I315&gt;T326),"Yes","No")))</f>
        <v>Yes</v>
      </c>
      <c r="H338" s="270">
        <f>IF(COUNTBLANK(C326:F326)=4,"No Data",MIN(C338:F338))</f>
        <v>11.231773534256623</v>
      </c>
      <c r="I338" s="248"/>
      <c r="K338" s="249" t="str">
        <f>CONCATENATE(IF(L338=1,IF(OR(AND(G338="1Fib",H338&lt;$Z$51),AND(G338="Yes",H338&lt;$Z$51),AND(G338="No",H338&lt;$Z$51)),"Valid","Invalid"),""),IF(L338=2,IF(OR(AND(G338="1Fib",H338&lt;$Z$51),AND(G338="Yes",H338&lt;$Z$51),AND(G338="Yes",H338&gt;$Z$51)),"Valid","Invalid"),""),IF(L338=3,IF(OR(AND(G338="1Fib",H338&lt;$Z$51),AND(G338="Yes",H338&lt;$Z$51),AND(G338="Yes",H338&gt;$Z$51),AND(G338="No",H338&lt;$Z$51)),"Valid","Invalid"),""))</f>
        <v>Valid</v>
      </c>
      <c r="L338" s="342">
        <v>2</v>
      </c>
      <c r="M338" s="249" t="str">
        <f>CONCATENATE(IF(N338=1,IF(OR(AND(G338="1Fib",H338&lt;$Z$51),AND(G338="Yes",H338&lt;$Z$51),AND(G338="No",H338&lt;$Z$51)),"Valid","Invalid"),""),IF(N338=2,IF(OR(AND(G338="1Fib",H338&lt;$Z$51),AND(G338="Yes",H338&lt;$Z$51),AND(G338="Yes",H338&gt;$Z$51)),"Valid","Invalid"),""),IF(N338=3,IF(OR(AND(G338="1Fib",H338&lt;$Z$51),AND(G338="Yes",H338&lt;$Z$51),AND(G338="Yes",H338&gt;$Z$51),AND(G338="No",H338&lt;$Z$51)),"Valid","Invalid"),""))</f>
        <v>Invalid</v>
      </c>
      <c r="N338" s="342">
        <v>1</v>
      </c>
      <c r="O338" s="249" t="str">
        <f>CONCATENATE(IF(P338=1,IF(OR(AND(G338="1Fib",H338&lt;$Z$51),AND(G338="Yes",H338&lt;$Z$51),AND(G338="No",H338&lt;$Z$51)),"Valid","Invalid"),""),IF(P338=2,IF(OR(AND(G338="1Fib",H338&lt;$Z$51),AND(G338="Yes",H338&lt;$Z$51),AND(G338="Yes",H338&gt;$Z$51)),"Valid","Invalid"),""),IF(P338=3,IF(OR(AND(G338="1Fib",H338&lt;$Z$51),AND(G338="Yes",H338&lt;$Z$51),AND(G338="Yes",H338&gt;$Z$51),AND(G338="No",H338&lt;$Z$51)),"Valid","Invalid"),""))</f>
        <v>Valid</v>
      </c>
      <c r="P338" s="342">
        <v>3</v>
      </c>
      <c r="Q338" s="250" t="s">
        <v>107</v>
      </c>
      <c r="R338" s="243">
        <f>IF(Z342="Y",I342,MAX(H345,H344,I342))</f>
        <v>6.25</v>
      </c>
      <c r="S338" s="375"/>
      <c r="T338" s="376"/>
      <c r="U338" s="377"/>
      <c r="W338" s="3"/>
      <c r="Y338" s="2"/>
      <c r="Z338" s="95" t="s">
        <v>43</v>
      </c>
      <c r="AB338" s="95" t="s">
        <v>44</v>
      </c>
    </row>
    <row r="339" spans="1:30" ht="15.75" customHeight="1" thickBot="1" x14ac:dyDescent="0.3">
      <c r="A339" s="125" t="s">
        <v>13</v>
      </c>
      <c r="B339" s="324" t="s">
        <v>8</v>
      </c>
      <c r="C339" s="251">
        <f>IF(C327=0,"No Data",K327/(J318/100))</f>
        <v>19.117252808851809</v>
      </c>
      <c r="D339" s="252">
        <f>IF(D327=0,"No Data",L327/(J319/100))</f>
        <v>48.676752800464179</v>
      </c>
      <c r="E339" s="253" t="str">
        <f>IF(E327=0,"No Data",M327/(J320/100))</f>
        <v>No Data</v>
      </c>
      <c r="F339" s="252" t="str">
        <f>IF(F327=0,"No Data",N327/(J321/100))</f>
        <v>No Data</v>
      </c>
      <c r="G339" s="247" t="str">
        <f>IF(COUNT(O327:R327)=1,"1Fib",IF(COUNT(O327:R327)&lt;2,"No Data",IF(AND(S327&gt;K315,K315&gt;T327),"Yes","No")))</f>
        <v>Yes</v>
      </c>
      <c r="H339" s="270">
        <f>IF(COUNTBLANK(C327:F327)=4,"No Data",MIN(C339:F339))</f>
        <v>19.117252808851809</v>
      </c>
      <c r="I339" s="254">
        <f>MIN(C339:F341)</f>
        <v>0.33927056827821156</v>
      </c>
      <c r="J339" s="2" t="s">
        <v>32</v>
      </c>
      <c r="K339" s="249" t="str">
        <f t="shared" ref="K339:K341" si="154">CONCATENATE(IF(L339=1,IF(OR(AND(G339="1Fib",H339&lt;$Z$51),AND(G339="Yes",H339&lt;$Z$51),AND(G339="No",H339&lt;$Z$51)),"Valid","Invalid"),""),IF(L339=2,IF(OR(AND(G339="1Fib",H339&lt;$Z$51),AND(G339="Yes",H339&lt;$Z$51),AND(G339="Yes",H339&gt;$Z$51)),"Valid","Invalid"),""),IF(L339=3,IF(OR(AND(G339="1Fib",H339&lt;$Z$51),AND(G339="Yes",H339&lt;$Z$51),AND(G339="Yes",H339&gt;$Z$51),AND(G339="No",H339&lt;$Z$51)),"Valid","Invalid"),""))</f>
        <v>Valid</v>
      </c>
      <c r="L339" s="342">
        <v>2</v>
      </c>
      <c r="M339" s="249" t="str">
        <f t="shared" ref="M339:M341" si="155">CONCATENATE(IF(N339=1,IF(OR(AND(G339="1Fib",H339&lt;$Z$51),AND(G339="Yes",H339&lt;$Z$51),AND(G339="No",H339&lt;$Z$51)),"Valid","Invalid"),""),IF(N339=2,IF(OR(AND(G339="1Fib",H339&lt;$Z$51),AND(G339="Yes",H339&lt;$Z$51),AND(G339="Yes",H339&gt;$Z$51)),"Valid","Invalid"),""),IF(N339=3,IF(OR(AND(G339="1Fib",H339&lt;$Z$51),AND(G339="Yes",H339&lt;$Z$51),AND(G339="Yes",H339&gt;$Z$51),AND(G339="No",H339&lt;$Z$51)),"Valid","Invalid"),""))</f>
        <v>Invalid</v>
      </c>
      <c r="N339" s="342">
        <v>1</v>
      </c>
      <c r="O339" s="249" t="str">
        <f t="shared" ref="O339:O341" si="156">CONCATENATE(IF(P339=1,IF(OR(AND(G339="1Fib",H339&lt;$Z$51),AND(G339="Yes",H339&lt;$Z$51),AND(G339="No",H339&lt;$Z$51)),"Valid","Invalid"),""),IF(P339=2,IF(OR(AND(G339="1Fib",H339&lt;$Z$51),AND(G339="Yes",H339&lt;$Z$51),AND(G339="Yes",H339&gt;$Z$51)),"Valid","Invalid"),""),IF(P339=3,IF(OR(AND(G339="1Fib",H339&lt;$Z$51),AND(G339="Yes",H339&lt;$Z$51),AND(G339="Yes",H339&gt;$Z$51),AND(G339="No",H339&lt;$Z$51)),"Valid","Invalid"),""))</f>
        <v>Valid</v>
      </c>
      <c r="P339" s="342">
        <v>3</v>
      </c>
      <c r="Q339" s="242" t="s">
        <v>108</v>
      </c>
      <c r="R339" s="243">
        <f>IF(Z342="Y",MAX(H339:H341),MAX(H337,H338,I339,I342,H344,H345))</f>
        <v>23.33333333333335</v>
      </c>
      <c r="S339" s="375"/>
      <c r="T339" s="376"/>
      <c r="U339" s="377"/>
      <c r="W339" s="3"/>
      <c r="Y339" s="255" t="s">
        <v>28</v>
      </c>
      <c r="Z339" s="256">
        <f>Z303</f>
        <v>8</v>
      </c>
      <c r="AA339" s="2" t="s">
        <v>15</v>
      </c>
      <c r="AB339" s="256">
        <f>AB303</f>
        <v>10</v>
      </c>
      <c r="AC339" s="2" t="s">
        <v>15</v>
      </c>
    </row>
    <row r="340" spans="1:30" ht="15.75" customHeight="1" thickBot="1" x14ac:dyDescent="0.3">
      <c r="A340" s="125" t="s">
        <v>14</v>
      </c>
      <c r="B340" s="324" t="s">
        <v>6</v>
      </c>
      <c r="C340" s="251">
        <f>IF(C328=0,"No Data",K328/(L318/100))</f>
        <v>0.33927056827821156</v>
      </c>
      <c r="D340" s="252" t="str">
        <f>IF(D328=0,"No Data",L328/(L319/100))</f>
        <v>No Data</v>
      </c>
      <c r="E340" s="253" t="str">
        <f>IF(E328=0,"No Data",M328/(L320/100))</f>
        <v>No Data</v>
      </c>
      <c r="F340" s="252" t="str">
        <f>IF(F328=0,"No Data",N328/(L321/100))</f>
        <v>No Data</v>
      </c>
      <c r="G340" s="247" t="str">
        <f>IF(COUNT(O328:R328)=1,"1Fib",IF(COUNT(O328:R328)&lt;2,"No Data",IF(AND(S328&gt;K315,K315&gt;T328),"Yes","No")))</f>
        <v>1Fib</v>
      </c>
      <c r="H340" s="270">
        <f>IF(COUNTBLANK(C328:F328)=4,"No Data",MIN(C340:F340))</f>
        <v>0.33927056827821156</v>
      </c>
      <c r="I340" s="257">
        <f>MAX(O327:R329)-MIN(O327:R329)</f>
        <v>0.43359000000000036</v>
      </c>
      <c r="J340" s="2" t="s">
        <v>40</v>
      </c>
      <c r="K340" s="249" t="str">
        <f t="shared" si="154"/>
        <v>Valid</v>
      </c>
      <c r="L340" s="342">
        <v>1</v>
      </c>
      <c r="M340" s="249" t="str">
        <f t="shared" si="155"/>
        <v>Valid</v>
      </c>
      <c r="N340" s="342">
        <v>1</v>
      </c>
      <c r="O340" s="249" t="str">
        <f t="shared" si="156"/>
        <v>Valid</v>
      </c>
      <c r="P340" s="342">
        <v>3</v>
      </c>
      <c r="Q340" s="242" t="s">
        <v>54</v>
      </c>
      <c r="R340" s="258">
        <f>SUM(H337,H338,I339)/COUNT(H337,H338,I339)</f>
        <v>11.634792478622728</v>
      </c>
      <c r="S340" s="375"/>
      <c r="T340" s="376"/>
      <c r="U340" s="377"/>
      <c r="W340" s="3"/>
      <c r="Y340" s="95"/>
      <c r="Z340" s="2"/>
      <c r="AA340" s="95"/>
      <c r="AB340" s="95"/>
      <c r="AC340" s="259"/>
    </row>
    <row r="341" spans="1:30" ht="15.75" customHeight="1" thickBot="1" x14ac:dyDescent="0.3">
      <c r="A341" s="125" t="s">
        <v>29</v>
      </c>
      <c r="B341" s="331" t="s">
        <v>7</v>
      </c>
      <c r="C341" s="260">
        <f>IF(C329=0,"No Data",K329/(N318/100))</f>
        <v>5.6756756756756488</v>
      </c>
      <c r="D341" s="261" t="str">
        <f>IF(D329=0,"No Data",L329/(N319/100))</f>
        <v>No Data</v>
      </c>
      <c r="E341" s="262" t="str">
        <f>IF(E329=0,"No Data",M329/(N320/100))</f>
        <v>No Data</v>
      </c>
      <c r="F341" s="261" t="str">
        <f>IF(F329=0,"No Data",N329/(N321/100))</f>
        <v>No Data</v>
      </c>
      <c r="G341" s="263" t="str">
        <f>IF(COUNT(O329:R329)=1,"1Fib",IF(COUNT(O329:R329)&lt;2,"No Data",IF(AND(S329&gt;K315,K315&gt;T329),"Yes","No")))</f>
        <v>1Fib</v>
      </c>
      <c r="H341" s="264">
        <f>IF(COUNTBLANK(C329:F329)=4,"No Data",MIN(C341:F341))</f>
        <v>5.6756756756756488</v>
      </c>
      <c r="I341" s="265">
        <f>COUNT(C339:F341)</f>
        <v>4</v>
      </c>
      <c r="J341" s="2" t="s">
        <v>41</v>
      </c>
      <c r="K341" s="249" t="str">
        <f t="shared" si="154"/>
        <v>Valid</v>
      </c>
      <c r="L341" s="342">
        <v>1</v>
      </c>
      <c r="M341" s="249" t="str">
        <f t="shared" si="155"/>
        <v>Valid</v>
      </c>
      <c r="N341" s="342">
        <v>1</v>
      </c>
      <c r="O341" s="249" t="str">
        <f t="shared" si="156"/>
        <v>Valid</v>
      </c>
      <c r="P341" s="342">
        <v>3</v>
      </c>
      <c r="Q341" s="250" t="s">
        <v>48</v>
      </c>
      <c r="R341" s="243">
        <f>SUM(I342,H344,H345)/COUNT(I342,H344,H345)</f>
        <v>2.2367902617062785</v>
      </c>
      <c r="S341" s="375"/>
      <c r="T341" s="376"/>
      <c r="U341" s="377"/>
      <c r="W341" s="3"/>
      <c r="Y341" s="2"/>
      <c r="Z341" s="95" t="s">
        <v>38</v>
      </c>
      <c r="AB341" s="95"/>
      <c r="AC341" s="310"/>
    </row>
    <row r="342" spans="1:30" ht="16.5" customHeight="1" thickTop="1" thickBot="1" x14ac:dyDescent="0.3">
      <c r="A342" s="12" t="s">
        <v>47</v>
      </c>
      <c r="B342" s="335" t="s">
        <v>6</v>
      </c>
      <c r="C342" s="268">
        <f>IF(C330=0,"No Data",K330/(G330/100))</f>
        <v>66.666666666666671</v>
      </c>
      <c r="D342" s="268">
        <f t="shared" ref="D342:D345" si="157">IF(D330=0,"No Data",L330/(H330/100))</f>
        <v>27.323656735421455</v>
      </c>
      <c r="E342" s="268">
        <f t="shared" ref="E342:E345" si="158">IF(E330=0,"No Data",M330/(I330/100))</f>
        <v>19.645848289064361</v>
      </c>
      <c r="F342" s="268" t="str">
        <f t="shared" ref="F342:F345" si="159">IF(F330=0,"No Data",N330/(J330/100))</f>
        <v>No Data</v>
      </c>
      <c r="G342" s="269"/>
      <c r="H342" s="270">
        <f>IF(COUNTIF(C330:F330,0)=4,"No Data",MIN(C342:F342))</f>
        <v>19.645848289064361</v>
      </c>
      <c r="I342" s="254">
        <f>MIN(C342:F343)</f>
        <v>6.25</v>
      </c>
      <c r="K342" s="363">
        <f>COUNTIFS(G337:K341,"Valid")</f>
        <v>4</v>
      </c>
      <c r="M342" s="363">
        <f>COUNTIFS(M337:M341,"Valid")</f>
        <v>2</v>
      </c>
      <c r="O342" s="363">
        <f>COUNTIFS(O337:O341,"Valid")</f>
        <v>4</v>
      </c>
      <c r="Q342" s="250" t="s">
        <v>56</v>
      </c>
      <c r="R342" s="243">
        <f>SUM(H337,H338,I339,I342,H344,H345)/COUNT(H337,H338,I339,I342,H344,H345)</f>
        <v>6.9357913701645026</v>
      </c>
      <c r="S342" s="378"/>
      <c r="T342" s="379"/>
      <c r="U342" s="380"/>
      <c r="W342" s="3"/>
      <c r="Y342" s="255" t="s">
        <v>36</v>
      </c>
      <c r="Z342" s="256" t="s">
        <v>57</v>
      </c>
      <c r="AA342" s="255"/>
      <c r="AB342" s="256"/>
      <c r="AC342" s="272"/>
    </row>
    <row r="343" spans="1:30" ht="15.75" customHeight="1" thickBot="1" x14ac:dyDescent="0.3">
      <c r="A343" s="12" t="s">
        <v>47</v>
      </c>
      <c r="B343" s="340" t="s">
        <v>74</v>
      </c>
      <c r="C343" s="273">
        <f t="shared" ref="C343:C345" si="160">IF(C331=0,"No Data",K331/(G331/100))</f>
        <v>6.25</v>
      </c>
      <c r="D343" s="273">
        <f t="shared" si="157"/>
        <v>16.144901610017897</v>
      </c>
      <c r="E343" s="273" t="str">
        <f t="shared" si="158"/>
        <v>No Data</v>
      </c>
      <c r="F343" s="273" t="str">
        <f t="shared" si="159"/>
        <v>No Data</v>
      </c>
      <c r="G343" s="269"/>
      <c r="H343" s="235">
        <f>IF(COUNTIF(C331:F331,0)=4,"No Data",MIN(C343:F343))</f>
        <v>6.25</v>
      </c>
      <c r="I343" s="235"/>
      <c r="K343" s="439" t="s">
        <v>116</v>
      </c>
      <c r="L343" s="439"/>
      <c r="M343" s="439"/>
      <c r="N343" s="439"/>
      <c r="O343" s="439"/>
      <c r="P343" s="439"/>
      <c r="Q343" s="274"/>
      <c r="R343" s="397" t="str">
        <f>CONCATENATE(IF(Y317="Y",Z317,""),IF(Y318="Y",Z318,""),IF(Y319="Y",Z319,""),IF(Y320="Y",Z320,""),IF(Y321="Y",Z321,""),IF(Y322="Y",Z322,""),IF(Y323="Y",Z323,""),IF(Y324="Y",Z324,""),IF(Y325="Y",Z325,""),IF(Y326="Y",Z326,""),IF(Y327="Y",Z327,""),IF(Y328="Y",Z328,""),IF(Y329="Y",Z329,""),IF(Y330="Y",Z330,""),IF(Y331="Y",Z331,""))</f>
        <v>[Weak Structure: More than 8 % Price deviation]</v>
      </c>
      <c r="S343" s="398"/>
      <c r="T343" s="398"/>
      <c r="U343" s="399"/>
      <c r="W343" s="3"/>
      <c r="Y343" s="2"/>
      <c r="Z343" s="2"/>
      <c r="AC343" s="259"/>
    </row>
    <row r="344" spans="1:30" ht="15.75" thickBot="1" x14ac:dyDescent="0.3">
      <c r="A344" s="12" t="s">
        <v>46</v>
      </c>
      <c r="B344" s="139" t="s">
        <v>6</v>
      </c>
      <c r="C344" s="273">
        <f t="shared" si="160"/>
        <v>77.777777777777786</v>
      </c>
      <c r="D344" s="273">
        <f t="shared" si="157"/>
        <v>9.8750171679714249</v>
      </c>
      <c r="E344" s="273">
        <f t="shared" si="158"/>
        <v>0.46037078511883545</v>
      </c>
      <c r="F344" s="273" t="str">
        <f t="shared" si="159"/>
        <v>No Data</v>
      </c>
      <c r="G344" s="275"/>
      <c r="H344" s="235">
        <f>IF(COUNTIF(C332:F332,0)=4,"No Data",MIN(C344:F344))</f>
        <v>0.46037078511883545</v>
      </c>
      <c r="I344" s="235"/>
      <c r="K344" s="440" t="s">
        <v>126</v>
      </c>
      <c r="L344" s="440"/>
      <c r="M344" s="440"/>
      <c r="N344" s="440"/>
      <c r="O344" s="440"/>
      <c r="P344" s="440"/>
      <c r="Q344" s="276" t="s">
        <v>34</v>
      </c>
      <c r="R344" s="400"/>
      <c r="S344" s="401"/>
      <c r="T344" s="401"/>
      <c r="U344" s="402"/>
      <c r="W344" s="3"/>
      <c r="Y344" s="2"/>
      <c r="Z344" s="2"/>
      <c r="AC344" s="259"/>
    </row>
    <row r="345" spans="1:30" ht="15.75" thickBot="1" x14ac:dyDescent="0.3">
      <c r="A345" s="12" t="s">
        <v>66</v>
      </c>
      <c r="B345" s="354" t="s">
        <v>6</v>
      </c>
      <c r="C345" s="277" t="str">
        <f t="shared" si="160"/>
        <v>No Data</v>
      </c>
      <c r="D345" s="277" t="str">
        <f t="shared" si="157"/>
        <v>No Data</v>
      </c>
      <c r="E345" s="277" t="str">
        <f t="shared" si="158"/>
        <v>No Data</v>
      </c>
      <c r="F345" s="277" t="str">
        <f t="shared" si="159"/>
        <v>No Data</v>
      </c>
      <c r="G345" s="278"/>
      <c r="H345" s="235">
        <f>IF(COUNTIF(C333:F333,0)=4,"No Data",MIN(C345:F345))</f>
        <v>0</v>
      </c>
      <c r="I345" s="235"/>
      <c r="K345" s="440" t="s">
        <v>127</v>
      </c>
      <c r="L345" s="440"/>
      <c r="M345" s="440"/>
      <c r="N345" s="440"/>
      <c r="O345" s="440"/>
      <c r="P345" s="440"/>
      <c r="Q345" s="250"/>
      <c r="R345" s="403"/>
      <c r="S345" s="404"/>
      <c r="T345" s="404"/>
      <c r="U345" s="405"/>
      <c r="W345" s="3"/>
      <c r="Y345" s="2"/>
      <c r="Z345" s="256"/>
      <c r="AA345" s="255"/>
      <c r="AB345" s="256"/>
      <c r="AC345" s="259"/>
    </row>
    <row r="346" spans="1:30" x14ac:dyDescent="0.25">
      <c r="I346" s="279"/>
      <c r="J346" s="281"/>
      <c r="K346" s="283"/>
      <c r="L346" s="283"/>
      <c r="M346" s="284"/>
      <c r="N346" s="285"/>
      <c r="O346" s="283"/>
      <c r="P346" s="283"/>
      <c r="W346" s="3"/>
    </row>
    <row r="347" spans="1:30" s="292" customFormat="1" ht="27.75" customHeight="1" x14ac:dyDescent="0.25">
      <c r="A347" s="3"/>
      <c r="B347" s="3"/>
      <c r="C347" s="3"/>
      <c r="D347" s="289"/>
      <c r="E347" s="290"/>
      <c r="F347" s="290"/>
      <c r="G347" s="290"/>
      <c r="M347" s="290"/>
      <c r="N347" s="290"/>
      <c r="O347" s="3"/>
      <c r="P347" s="293"/>
      <c r="Q347" s="294"/>
      <c r="R347" s="295"/>
      <c r="S347" s="295"/>
      <c r="T347" s="3"/>
      <c r="W347" s="3"/>
      <c r="Y347" s="296"/>
      <c r="Z347" s="297"/>
    </row>
    <row r="348" spans="1:30" ht="15.75" thickBot="1" x14ac:dyDescent="0.3">
      <c r="A348" s="78"/>
      <c r="B348" s="78"/>
      <c r="C348" s="78"/>
      <c r="D348" s="298"/>
      <c r="E348" s="259"/>
      <c r="F348" s="259"/>
      <c r="G348" s="259"/>
      <c r="H348" s="259"/>
      <c r="I348" s="259"/>
      <c r="J348" s="259"/>
      <c r="K348" s="259"/>
      <c r="L348" s="259"/>
      <c r="M348" s="259"/>
      <c r="N348" s="259"/>
      <c r="O348" s="78"/>
      <c r="P348" s="78"/>
      <c r="Q348" s="78"/>
      <c r="R348" s="78"/>
      <c r="S348" s="78"/>
      <c r="W348" s="3"/>
    </row>
    <row r="349" spans="1:30" s="89" customFormat="1" ht="14.25" customHeight="1" thickBot="1" x14ac:dyDescent="0.3">
      <c r="A349" s="82"/>
      <c r="B349" s="299" t="s">
        <v>95</v>
      </c>
      <c r="C349" s="425">
        <f>C313</f>
        <v>0</v>
      </c>
      <c r="D349" s="426"/>
      <c r="E349" s="425">
        <f>E313</f>
        <v>9</v>
      </c>
      <c r="F349" s="426"/>
      <c r="G349" s="425">
        <f>G313</f>
        <v>16</v>
      </c>
      <c r="H349" s="426"/>
      <c r="I349" s="425">
        <f>I313</f>
        <v>23</v>
      </c>
      <c r="J349" s="426"/>
      <c r="K349" s="425">
        <f>K313</f>
        <v>30</v>
      </c>
      <c r="L349" s="426"/>
      <c r="M349" s="425">
        <f>M313</f>
        <v>33</v>
      </c>
      <c r="N349" s="426"/>
      <c r="O349" s="395"/>
      <c r="P349" s="395"/>
      <c r="Q349" s="395"/>
      <c r="R349" s="395"/>
      <c r="S349" s="395"/>
      <c r="T349" s="395"/>
      <c r="U349" s="395"/>
      <c r="V349" s="395"/>
      <c r="W349" s="3"/>
      <c r="Y349" s="4"/>
      <c r="Z349" s="5"/>
    </row>
    <row r="350" spans="1:30" ht="34.5" thickBot="1" x14ac:dyDescent="0.3">
      <c r="A350" s="300" t="s">
        <v>59</v>
      </c>
      <c r="B350" s="360">
        <v>9</v>
      </c>
      <c r="C350" s="421" t="s">
        <v>5</v>
      </c>
      <c r="D350" s="422"/>
      <c r="E350" s="421" t="s">
        <v>1</v>
      </c>
      <c r="F350" s="422"/>
      <c r="G350" s="421" t="s">
        <v>2</v>
      </c>
      <c r="H350" s="422"/>
      <c r="I350" s="421" t="s">
        <v>3</v>
      </c>
      <c r="J350" s="422"/>
      <c r="K350" s="421" t="s">
        <v>4</v>
      </c>
      <c r="L350" s="422"/>
      <c r="M350" s="421" t="s">
        <v>93</v>
      </c>
      <c r="N350" s="422"/>
      <c r="O350" s="396"/>
      <c r="P350" s="396"/>
      <c r="Q350" s="396"/>
      <c r="R350" s="396"/>
      <c r="S350" s="396"/>
      <c r="T350" s="396"/>
      <c r="U350" s="396"/>
      <c r="V350" s="396"/>
      <c r="W350" s="3"/>
      <c r="X350" s="302" t="str">
        <f>A350</f>
        <v>Mx Gartley</v>
      </c>
      <c r="Y350" s="361"/>
      <c r="Z350" s="362"/>
    </row>
    <row r="351" spans="1:30" ht="14.25" customHeight="1" thickBot="1" x14ac:dyDescent="0.3">
      <c r="A351" s="90"/>
      <c r="B351" s="91" t="s">
        <v>96</v>
      </c>
      <c r="C351" s="447">
        <f>C315</f>
        <v>1.8</v>
      </c>
      <c r="D351" s="448"/>
      <c r="E351" s="447">
        <f>E315</f>
        <v>1.2</v>
      </c>
      <c r="F351" s="448"/>
      <c r="G351" s="447">
        <f>G315</f>
        <v>1.57</v>
      </c>
      <c r="H351" s="448"/>
      <c r="I351" s="447">
        <f>I315</f>
        <v>1.2789999999999999</v>
      </c>
      <c r="J351" s="448"/>
      <c r="K351" s="447">
        <f>K315</f>
        <v>1.67</v>
      </c>
      <c r="L351" s="448"/>
      <c r="M351" s="447">
        <f>M315</f>
        <v>0</v>
      </c>
      <c r="N351" s="448"/>
      <c r="O351" s="394"/>
      <c r="P351" s="394"/>
      <c r="Q351" s="394"/>
      <c r="R351" s="394"/>
      <c r="S351" s="394"/>
      <c r="T351" s="394"/>
      <c r="U351" s="394"/>
      <c r="V351" s="394"/>
      <c r="W351" s="3"/>
    </row>
    <row r="352" spans="1:30" ht="34.5" thickBot="1" x14ac:dyDescent="0.3">
      <c r="A352" s="92"/>
      <c r="B352" s="92"/>
      <c r="C352" s="93" t="s">
        <v>16</v>
      </c>
      <c r="D352" s="430" t="s">
        <v>6</v>
      </c>
      <c r="E352" s="431"/>
      <c r="F352" s="430" t="s">
        <v>7</v>
      </c>
      <c r="G352" s="431"/>
      <c r="H352" s="430" t="s">
        <v>8</v>
      </c>
      <c r="I352" s="431"/>
      <c r="J352" s="430" t="s">
        <v>9</v>
      </c>
      <c r="K352" s="431"/>
      <c r="L352" s="449" t="s">
        <v>30</v>
      </c>
      <c r="M352" s="393"/>
      <c r="N352" s="449" t="s">
        <v>31</v>
      </c>
      <c r="O352" s="393"/>
      <c r="P352" s="304"/>
      <c r="Q352" s="78"/>
      <c r="R352" s="78"/>
      <c r="W352" s="3"/>
      <c r="Y352" s="305" t="s">
        <v>36</v>
      </c>
      <c r="Z352" s="230" t="s">
        <v>71</v>
      </c>
      <c r="AA352" s="306" t="s">
        <v>80</v>
      </c>
      <c r="AB352" s="307"/>
      <c r="AC352" s="307"/>
      <c r="AD352" s="308"/>
    </row>
    <row r="353" spans="1:30" ht="15.75" thickBot="1" x14ac:dyDescent="0.3">
      <c r="A353" s="441"/>
      <c r="B353" s="442"/>
      <c r="C353" s="93" t="s">
        <v>33</v>
      </c>
      <c r="D353" s="423">
        <f>IF(C351&lt;E351,E351-C351,C351-E351)</f>
        <v>0.60000000000000009</v>
      </c>
      <c r="E353" s="424"/>
      <c r="F353" s="423">
        <f>IF(G351&lt;E351,E351-G351,G351-E351)</f>
        <v>0.37000000000000011</v>
      </c>
      <c r="G353" s="424"/>
      <c r="H353" s="423">
        <f>IF(I351&lt;G351,G351-I351,I351-G351)</f>
        <v>0.29100000000000015</v>
      </c>
      <c r="I353" s="424"/>
      <c r="J353" s="423">
        <f>IF(K351&lt;I351,I351-K351,K351-I351)</f>
        <v>0.39100000000000001</v>
      </c>
      <c r="K353" s="424"/>
      <c r="L353" s="423">
        <f>IF(C351&lt;E351,E351-C351,C351-E351)</f>
        <v>0.60000000000000009</v>
      </c>
      <c r="M353" s="424"/>
      <c r="N353" s="423">
        <f>IF(E351&lt;G351,G351-E351,E351-G351)</f>
        <v>0.37000000000000011</v>
      </c>
      <c r="O353" s="424"/>
      <c r="P353" s="78"/>
      <c r="Q353" s="76"/>
      <c r="R353" s="76"/>
      <c r="W353" s="3"/>
      <c r="X353" s="2">
        <v>1</v>
      </c>
      <c r="Y353" s="311" t="s">
        <v>70</v>
      </c>
      <c r="Z353" s="312" t="str">
        <f>IF(R373&gt;Z375,CONCATENATE("[Weak Structure: More than ",Z375," % Price deviation]"),"")</f>
        <v>[Weak Structure: More than 8 % Price deviation]</v>
      </c>
      <c r="AA353" s="381" t="s">
        <v>72</v>
      </c>
      <c r="AB353" s="382"/>
      <c r="AC353" s="382"/>
      <c r="AD353" s="383"/>
    </row>
    <row r="354" spans="1:30" ht="15.75" thickBot="1" x14ac:dyDescent="0.3">
      <c r="A354" s="443"/>
      <c r="B354" s="444"/>
      <c r="C354" s="93" t="s">
        <v>18</v>
      </c>
      <c r="D354" s="437" t="s">
        <v>17</v>
      </c>
      <c r="E354" s="438"/>
      <c r="F354" s="437">
        <f>IF(C361&gt;0,(D353*C361),"No Data")</f>
        <v>0.22920000000000004</v>
      </c>
      <c r="G354" s="438"/>
      <c r="H354" s="437">
        <f>IF(C362&gt;0,(F353*C362),"No Data")</f>
        <v>0.14134000000000005</v>
      </c>
      <c r="I354" s="438"/>
      <c r="J354" s="437">
        <f>IF(C363&gt;0,(H353*C363),"No Data")</f>
        <v>0.32824800000000015</v>
      </c>
      <c r="K354" s="438"/>
      <c r="L354" s="437">
        <f>IF(C364&gt;0,(L353*C364),"No Data")</f>
        <v>0.37080000000000007</v>
      </c>
      <c r="M354" s="438"/>
      <c r="N354" s="437">
        <f>IF(C365&gt;0,(N353*C365),"No Data")</f>
        <v>0.37000000000000011</v>
      </c>
      <c r="O354" s="438"/>
      <c r="P354" s="314"/>
      <c r="Q354" s="76"/>
      <c r="R354" s="76"/>
      <c r="W354" s="3"/>
      <c r="X354" s="2">
        <v>2</v>
      </c>
      <c r="Y354" s="311" t="s">
        <v>70</v>
      </c>
      <c r="Z354" s="312" t="str">
        <f>IF(R374&gt;AB375,CONCATENATE("[Weak Structure: More than ",AB375," % Time deviation]"),"")</f>
        <v/>
      </c>
      <c r="AA354" s="381" t="s">
        <v>73</v>
      </c>
      <c r="AB354" s="382"/>
      <c r="AC354" s="382"/>
      <c r="AD354" s="383"/>
    </row>
    <row r="355" spans="1:30" ht="15.75" thickBot="1" x14ac:dyDescent="0.3">
      <c r="A355" s="443"/>
      <c r="B355" s="444"/>
      <c r="C355" s="93" t="s">
        <v>19</v>
      </c>
      <c r="D355" s="437" t="s">
        <v>17</v>
      </c>
      <c r="E355" s="438"/>
      <c r="F355" s="437">
        <f>IF(D361&gt;0,(D353*D361),"No Data")</f>
        <v>0.37080000000000007</v>
      </c>
      <c r="G355" s="438"/>
      <c r="H355" s="437">
        <f>IF(D362&gt;0,(F353*D362),"No Data")</f>
        <v>0.32782000000000011</v>
      </c>
      <c r="I355" s="438"/>
      <c r="J355" s="437">
        <f>IF(D363&gt;0,(H353*D363),"No Data")</f>
        <v>0.65067600000000037</v>
      </c>
      <c r="K355" s="438"/>
      <c r="L355" s="437">
        <f>IF(D364&gt;0,(L353*D364),"No Data")</f>
        <v>0.47160000000000007</v>
      </c>
      <c r="M355" s="438"/>
      <c r="N355" s="437">
        <f>IF(D365&gt;0,(N353*D365),"No Data")</f>
        <v>0.47064000000000017</v>
      </c>
      <c r="O355" s="438"/>
      <c r="P355" s="314"/>
      <c r="Q355" s="76"/>
      <c r="R355" s="76"/>
      <c r="W355" s="3"/>
      <c r="X355" s="2">
        <v>3</v>
      </c>
      <c r="Y355" s="311"/>
      <c r="Z355" s="315"/>
      <c r="AA355" s="381"/>
      <c r="AB355" s="382"/>
      <c r="AC355" s="382"/>
      <c r="AD355" s="383"/>
    </row>
    <row r="356" spans="1:30" ht="15.75" thickBot="1" x14ac:dyDescent="0.3">
      <c r="A356" s="443"/>
      <c r="B356" s="444"/>
      <c r="C356" s="93" t="s">
        <v>20</v>
      </c>
      <c r="D356" s="437" t="s">
        <v>17</v>
      </c>
      <c r="E356" s="438"/>
      <c r="F356" s="437" t="str">
        <f>IF(E361&gt;0,(D353*E361),"No Data")</f>
        <v>No Data</v>
      </c>
      <c r="G356" s="438"/>
      <c r="H356" s="437" t="str">
        <f>IF(E362&gt;0,(F353*E362),"No Data")</f>
        <v>No Data</v>
      </c>
      <c r="I356" s="438"/>
      <c r="J356" s="437" t="str">
        <f>IF(E363&gt;0,(H353*E363),"No Data")</f>
        <v>No Data</v>
      </c>
      <c r="K356" s="438"/>
      <c r="L356" s="437" t="str">
        <f>IF(E364&gt;0,(L353*E364),"No Data")</f>
        <v>No Data</v>
      </c>
      <c r="M356" s="438"/>
      <c r="N356" s="437" t="str">
        <f>IF(E365&gt;0,(N353*E365),"No Data")</f>
        <v>No Data</v>
      </c>
      <c r="O356" s="438"/>
      <c r="P356" s="314"/>
      <c r="Q356" s="76"/>
      <c r="R356" s="76"/>
      <c r="W356" s="3"/>
      <c r="X356" s="2">
        <v>4</v>
      </c>
      <c r="Y356" s="311"/>
      <c r="Z356" s="317"/>
      <c r="AA356" s="381"/>
      <c r="AB356" s="382"/>
      <c r="AC356" s="382"/>
      <c r="AD356" s="383"/>
    </row>
    <row r="357" spans="1:30" ht="15.75" thickBot="1" x14ac:dyDescent="0.3">
      <c r="A357" s="445"/>
      <c r="B357" s="446"/>
      <c r="C357" s="93" t="s">
        <v>21</v>
      </c>
      <c r="D357" s="437" t="s">
        <v>17</v>
      </c>
      <c r="E357" s="438"/>
      <c r="F357" s="437" t="str">
        <f>IF(F361&gt;0,(D353*F361),"No Data")</f>
        <v>No Data</v>
      </c>
      <c r="G357" s="438"/>
      <c r="H357" s="437" t="str">
        <f>IF(F362&gt;0,(F353*F362),"No Data")</f>
        <v>No Data</v>
      </c>
      <c r="I357" s="438"/>
      <c r="J357" s="437" t="str">
        <f>IF(F363&gt;0,(H353*F363),"No Data")</f>
        <v>No Data</v>
      </c>
      <c r="K357" s="438"/>
      <c r="L357" s="437" t="str">
        <f>IF(F364&gt;0,(L353*F364),"No Data")</f>
        <v>No Data</v>
      </c>
      <c r="M357" s="438"/>
      <c r="N357" s="437" t="str">
        <f>IF(F365&gt;0,(N353*F365),"No Data")</f>
        <v>No Data</v>
      </c>
      <c r="O357" s="438"/>
      <c r="P357" s="314"/>
      <c r="Q357" s="76"/>
      <c r="R357" s="76"/>
      <c r="W357" s="3"/>
      <c r="X357" s="2">
        <v>5</v>
      </c>
      <c r="Y357" s="311" t="s">
        <v>70</v>
      </c>
      <c r="Z357" s="312" t="str">
        <f>IF(C351&gt;E351,IF(AND(C351&gt;E351,E351&lt;G351,G351&gt;I351,I351&lt;K351),"","[No Structure found] "),IF(AND(C351&lt;E351,E351&gt;G351,G351&lt;I351,I351&gt;K351),"","[No Structure found] "))</f>
        <v/>
      </c>
      <c r="AA357" s="381" t="s">
        <v>81</v>
      </c>
      <c r="AB357" s="382"/>
      <c r="AC357" s="382"/>
      <c r="AD357" s="383"/>
    </row>
    <row r="358" spans="1:30" ht="19.5" thickBot="1" x14ac:dyDescent="0.3">
      <c r="A358" s="432" t="str">
        <f>CONCATENATE(IF(C351&gt;E351,"Bearish",""),(IF(C351&lt;E351,"Bullish","")))</f>
        <v>Bearish</v>
      </c>
      <c r="B358" s="433"/>
      <c r="N358" s="114"/>
      <c r="W358" s="3"/>
      <c r="X358" s="2">
        <v>6</v>
      </c>
      <c r="Y358" s="311" t="s">
        <v>70</v>
      </c>
      <c r="Z358" s="312" t="str">
        <f>CONCATENATE(IF(AND(C351&gt;E351,K351&gt;C351),"[Structure Violation: D passed X] ",""),IF(AND(C351&lt;E351,K351&lt;C351),"[Structure Violation: D passed X] ",""))</f>
        <v/>
      </c>
      <c r="AA358" s="381" t="s">
        <v>83</v>
      </c>
      <c r="AB358" s="382"/>
      <c r="AC358" s="382"/>
      <c r="AD358" s="383"/>
    </row>
    <row r="359" spans="1:30" ht="15.75" thickBot="1" x14ac:dyDescent="0.3">
      <c r="C359" s="418" t="s">
        <v>50</v>
      </c>
      <c r="D359" s="419"/>
      <c r="E359" s="419"/>
      <c r="F359" s="420"/>
      <c r="G359" s="427" t="s">
        <v>49</v>
      </c>
      <c r="H359" s="428"/>
      <c r="I359" s="428"/>
      <c r="J359" s="429"/>
      <c r="K359" s="427" t="s">
        <v>52</v>
      </c>
      <c r="L359" s="428"/>
      <c r="M359" s="428"/>
      <c r="N359" s="428"/>
      <c r="O359" s="427" t="s">
        <v>67</v>
      </c>
      <c r="P359" s="428"/>
      <c r="Q359" s="428"/>
      <c r="R359" s="429"/>
      <c r="S359" s="384" t="s">
        <v>65</v>
      </c>
      <c r="T359" s="385"/>
      <c r="W359" s="3"/>
      <c r="X359" s="2">
        <v>7</v>
      </c>
      <c r="Y359" s="311" t="s">
        <v>70</v>
      </c>
      <c r="Z359" s="318" t="str">
        <f>CONCATENATE(IF(AND(C351&gt;E351,I351&lt;E351),"[Structure Violation: C passed A] ",""),IF(AND(C351&lt;E351,I351&gt;E351),"[Structure Violation: C passed A] ",""))</f>
        <v/>
      </c>
      <c r="AA359" s="381" t="s">
        <v>84</v>
      </c>
      <c r="AB359" s="382"/>
      <c r="AC359" s="382"/>
      <c r="AD359" s="383"/>
    </row>
    <row r="360" spans="1:30" ht="15.75" thickBot="1" x14ac:dyDescent="0.3">
      <c r="A360" s="115" t="s">
        <v>10</v>
      </c>
      <c r="B360" s="116" t="s">
        <v>51</v>
      </c>
      <c r="C360" s="319">
        <v>1</v>
      </c>
      <c r="D360" s="319">
        <v>2</v>
      </c>
      <c r="E360" s="319">
        <v>3</v>
      </c>
      <c r="F360" s="319">
        <v>4</v>
      </c>
      <c r="G360" s="118">
        <v>1</v>
      </c>
      <c r="H360" s="118">
        <v>2</v>
      </c>
      <c r="I360" s="118">
        <v>3</v>
      </c>
      <c r="J360" s="118">
        <v>4</v>
      </c>
      <c r="K360" s="119">
        <v>1</v>
      </c>
      <c r="L360" s="119">
        <v>2</v>
      </c>
      <c r="M360" s="119">
        <v>3</v>
      </c>
      <c r="N360" s="120">
        <v>4</v>
      </c>
      <c r="O360" s="118">
        <v>1</v>
      </c>
      <c r="P360" s="119">
        <v>2</v>
      </c>
      <c r="Q360" s="118">
        <v>3</v>
      </c>
      <c r="R360" s="119">
        <v>4</v>
      </c>
      <c r="S360" s="121" t="s">
        <v>63</v>
      </c>
      <c r="T360" s="122" t="s">
        <v>64</v>
      </c>
      <c r="W360" s="3"/>
      <c r="X360" s="2">
        <v>8</v>
      </c>
      <c r="Y360" s="311" t="s">
        <v>70</v>
      </c>
      <c r="Z360" s="312" t="str">
        <f>CONCATENATE(IF(AND(C351&gt;E351,G351&gt;C351),"[Structure Violaton: B passed X] ",""),IF(AND(C351&lt;E351,G351&lt;C351),"[Structure Violation: B passed X] ",""))</f>
        <v/>
      </c>
      <c r="AA360" s="381" t="s">
        <v>85</v>
      </c>
      <c r="AB360" s="382"/>
      <c r="AC360" s="382"/>
      <c r="AD360" s="383"/>
    </row>
    <row r="361" spans="1:30" ht="15.75" thickBot="1" x14ac:dyDescent="0.3">
      <c r="A361" s="125" t="s">
        <v>11</v>
      </c>
      <c r="B361" s="320" t="s">
        <v>6</v>
      </c>
      <c r="C361" s="321">
        <v>0.38200000000000001</v>
      </c>
      <c r="D361" s="322">
        <v>0.61799999999999999</v>
      </c>
      <c r="E361" s="322"/>
      <c r="F361" s="323"/>
      <c r="G361" s="130">
        <f>IF(C351&gt;E351,IF(C361&gt;0,E351+(D353*C361),0),IF(C361&gt;0,E351-(D353*C361),0))</f>
        <v>1.4292</v>
      </c>
      <c r="H361" s="131">
        <f>IF(C351&gt;E351,IF(D361&gt;0,E351+(D353*D361),0),IF(D361&gt;0,E351-(D353*D361),0))</f>
        <v>1.5708</v>
      </c>
      <c r="I361" s="131">
        <f>IF(C351&gt;E351,IF(E361&gt;0,E351+(D353*E361),0),IF(E361&gt;0,E351-(D353*E361),0))</f>
        <v>0</v>
      </c>
      <c r="J361" s="131">
        <f>IF(C351&gt;E351,IF(F361&gt;0,E351+(D353*F361),0),IF(F361&gt;0,E351-(D353*F361),0))</f>
        <v>0</v>
      </c>
      <c r="K361" s="133">
        <f>IF(C361&gt;0,IF(G361&lt;G351,G351-G361,G361-G351),0)</f>
        <v>0.14080000000000004</v>
      </c>
      <c r="L361" s="134">
        <f>IF(D361&gt;0,IF(H361&lt;G351,G351-H361,H361-G351),0)</f>
        <v>7.9999999999991189E-4</v>
      </c>
      <c r="M361" s="134">
        <f>IF(E361&gt;0,IF(I361&lt;G351,G351-I361,I361-G351),0)</f>
        <v>0</v>
      </c>
      <c r="N361" s="135">
        <f>IF(F361&gt;0,IF(J361&lt;G351,G351-J361,J361-G351),0)</f>
        <v>0</v>
      </c>
      <c r="O361" s="130">
        <f t="shared" ref="O361:O363" si="161">IF(C361=0,"No Data",G361)</f>
        <v>1.4292</v>
      </c>
      <c r="P361" s="131">
        <f t="shared" ref="P361:P363" si="162">IF(D361=0,"No Data",H361)</f>
        <v>1.5708</v>
      </c>
      <c r="Q361" s="131" t="str">
        <f t="shared" ref="Q361:Q369" si="163">IF(E361=0,"No Data",I361)</f>
        <v>No Data</v>
      </c>
      <c r="R361" s="132" t="str">
        <f t="shared" ref="R361:R363" si="164">IF(F361=0,"No Data",J361)</f>
        <v>No Data</v>
      </c>
      <c r="S361" s="136">
        <f t="shared" ref="S361:S365" si="165">MAX(O361:R361)</f>
        <v>1.5708</v>
      </c>
      <c r="T361" s="137">
        <f t="shared" ref="T361:T362" si="166">MIN(O361:R361)</f>
        <v>1.4292</v>
      </c>
      <c r="W361" s="3"/>
      <c r="X361" s="2">
        <v>9</v>
      </c>
      <c r="Y361" s="311" t="s">
        <v>57</v>
      </c>
      <c r="Z361" s="312" t="str">
        <f>CONCATENATE(IF(AND(C351&gt;E351,I351&gt;E351),"[Structure Violation: C above A] ",""),IF(AND(C351&lt;E351,I351&lt;E351),"[Structure Violation: C below A] ",""))</f>
        <v xml:space="preserve">[Structure Violation: C above A] </v>
      </c>
      <c r="AA361" s="381" t="s">
        <v>86</v>
      </c>
      <c r="AB361" s="382"/>
      <c r="AC361" s="382"/>
      <c r="AD361" s="383"/>
    </row>
    <row r="362" spans="1:30" ht="15.75" thickBot="1" x14ac:dyDescent="0.3">
      <c r="A362" s="125" t="s">
        <v>12</v>
      </c>
      <c r="B362" s="324" t="s">
        <v>7</v>
      </c>
      <c r="C362" s="325">
        <v>0.38200000000000001</v>
      </c>
      <c r="D362" s="326">
        <v>0.88600000000000001</v>
      </c>
      <c r="E362" s="326"/>
      <c r="F362" s="327"/>
      <c r="G362" s="143">
        <f>IF(C351&gt;E351,IF(C362&gt;0,G351-(F353*C362),0),IF(C362&gt;0,G351+(F353*C362),0))</f>
        <v>1.42866</v>
      </c>
      <c r="H362" s="144">
        <f>IF(C351&gt;E351,IF(D362&gt;0,G351-(F353*D362),0),IF(D362&gt;0,G351+(F353*D362),0))</f>
        <v>1.2421799999999998</v>
      </c>
      <c r="I362" s="144">
        <f>IF(C351&gt;E351,IF(E362&gt;0,G351-(F353*E362),0),IF(E362&gt;0,G351+(F353*E362),0))</f>
        <v>0</v>
      </c>
      <c r="J362" s="328">
        <f>IF(C351&gt;E351,IF(F362&gt;0,G351-(F353*F362),0),IF(F362&gt;0,G351+(F353*F362),0))</f>
        <v>0</v>
      </c>
      <c r="K362" s="146">
        <f>IF(C362&gt;0,IF(G362&lt;I351,I351-G362,G362-I351),0)</f>
        <v>0.14966000000000013</v>
      </c>
      <c r="L362" s="147">
        <f>IF(D362&gt;0,IF(H362&lt;I351,I351-H362,H362-I351),0)</f>
        <v>3.6820000000000075E-2</v>
      </c>
      <c r="M362" s="147">
        <f>IF(E362&gt;0,IF(I362&lt;I351,I351-I362,I362-I351),0)</f>
        <v>0</v>
      </c>
      <c r="N362" s="148">
        <f>IF(F362&gt;0,IF(J362&lt;I351,I351-J362,J362-I351),0)</f>
        <v>0</v>
      </c>
      <c r="O362" s="143">
        <f t="shared" si="161"/>
        <v>1.42866</v>
      </c>
      <c r="P362" s="144">
        <f t="shared" si="162"/>
        <v>1.2421799999999998</v>
      </c>
      <c r="Q362" s="144" t="str">
        <f t="shared" si="163"/>
        <v>No Data</v>
      </c>
      <c r="R362" s="145" t="str">
        <f t="shared" si="164"/>
        <v>No Data</v>
      </c>
      <c r="S362" s="149">
        <f t="shared" si="165"/>
        <v>1.42866</v>
      </c>
      <c r="T362" s="150">
        <f t="shared" si="166"/>
        <v>1.2421799999999998</v>
      </c>
      <c r="W362" s="3"/>
      <c r="X362" s="2">
        <v>10</v>
      </c>
      <c r="Y362" s="311" t="s">
        <v>70</v>
      </c>
      <c r="Z362" s="318" t="str">
        <f>CONCATENATE(IF(AND(C351&gt;E351,G351&gt;K351),"[Structure Violation: B above D] ",""),IF(AND(C351&lt;E351,G351&lt;K351),"[Structure Violation: B below D] ",""))</f>
        <v/>
      </c>
      <c r="AA362" s="381" t="s">
        <v>87</v>
      </c>
      <c r="AB362" s="382"/>
      <c r="AC362" s="382"/>
      <c r="AD362" s="383"/>
    </row>
    <row r="363" spans="1:30" ht="15.75" thickBot="1" x14ac:dyDescent="0.3">
      <c r="A363" s="125" t="s">
        <v>13</v>
      </c>
      <c r="B363" s="324" t="s">
        <v>8</v>
      </c>
      <c r="C363" s="325">
        <v>1.1279999999999999</v>
      </c>
      <c r="D363" s="326">
        <v>2.2360000000000002</v>
      </c>
      <c r="E363" s="326"/>
      <c r="F363" s="327"/>
      <c r="G363" s="143">
        <f>IF(C351&gt;E351,IF(C363&gt;0,I351+(H353*C363),0),IF(C363&gt;0,I351-(H353*C363),0))</f>
        <v>1.607248</v>
      </c>
      <c r="H363" s="144">
        <f>IF(C351&gt;E351,IF(D363&gt;0,I351+(H353*D363),0),IF(D363&gt;0,I351-(H353*D363),0))</f>
        <v>1.9296760000000002</v>
      </c>
      <c r="I363" s="144">
        <f>IF(C351&gt;E351,IF(E363&gt;0,I351+(H353*E363),0),IF(E363&gt;0,I351-(H353*E363),0))</f>
        <v>0</v>
      </c>
      <c r="J363" s="328">
        <f>IF(C351&gt;E351,IF(F363&gt;0,I351+(H353*F363),0),IF(F363&gt;0,I351-(H353*F363),0))</f>
        <v>0</v>
      </c>
      <c r="K363" s="146">
        <f>IF(C363&gt;0,IF(G363&lt;K351,K351-G363,G363-K351),0)</f>
        <v>6.2751999999999919E-2</v>
      </c>
      <c r="L363" s="147">
        <f>IF(D363&gt;0,IF(H363&lt;K351,K351-H363,H363-K351),0)</f>
        <v>0.25967600000000024</v>
      </c>
      <c r="M363" s="147">
        <f>IF(E363&gt;0,IF(I363&lt;K351,K351-I363,I363-K351),0)</f>
        <v>0</v>
      </c>
      <c r="N363" s="148">
        <f>IF(F363&gt;0,IF(J363&lt;K351,K351-J363,J363-K351),0)</f>
        <v>0</v>
      </c>
      <c r="O363" s="143">
        <f t="shared" si="161"/>
        <v>1.607248</v>
      </c>
      <c r="P363" s="144">
        <f t="shared" si="162"/>
        <v>1.9296760000000002</v>
      </c>
      <c r="Q363" s="144" t="str">
        <f t="shared" si="163"/>
        <v>No Data</v>
      </c>
      <c r="R363" s="145" t="str">
        <f t="shared" si="164"/>
        <v>No Data</v>
      </c>
      <c r="S363" s="151">
        <f t="shared" si="165"/>
        <v>1.9296760000000002</v>
      </c>
      <c r="T363" s="150">
        <f>MIN(O363:R363)</f>
        <v>1.607248</v>
      </c>
      <c r="W363" s="3"/>
      <c r="X363" s="2">
        <v>11</v>
      </c>
      <c r="Y363" s="311" t="s">
        <v>57</v>
      </c>
      <c r="Z363" s="312" t="str">
        <f>CONCATENATE(IF(AND(C351&gt;E351,K351&lt;C351),"[Structure Violation: D below X] ",""),IF(AND(C351&lt;E351,K351&gt;C351),"[Structure Violation: D above X] ",""))</f>
        <v xml:space="preserve">[Structure Violation: D below X] </v>
      </c>
      <c r="AA363" s="381" t="s">
        <v>88</v>
      </c>
      <c r="AB363" s="382"/>
      <c r="AC363" s="382"/>
      <c r="AD363" s="383"/>
    </row>
    <row r="364" spans="1:30" ht="15.75" thickBot="1" x14ac:dyDescent="0.3">
      <c r="A364" s="125" t="s">
        <v>14</v>
      </c>
      <c r="B364" s="324" t="s">
        <v>6</v>
      </c>
      <c r="C364" s="325">
        <v>0.61799999999999999</v>
      </c>
      <c r="D364" s="326">
        <v>0.78600000000000003</v>
      </c>
      <c r="E364" s="326"/>
      <c r="F364" s="327"/>
      <c r="G364" s="152">
        <f>IF(C351&gt;E351,IF(C364&gt;0,E351+(D353*C364),0),IF(C364&gt;0,E351-(D353*C364),0))</f>
        <v>1.5708</v>
      </c>
      <c r="H364" s="144">
        <f>IF(C351&gt;E351,IF(D364&gt;0,E351+(D353*D364),0),IF(D364&gt;0,E351-(D353*D364),0))</f>
        <v>1.6716</v>
      </c>
      <c r="I364" s="144">
        <f>IF(C351&gt;E351,IF(E364&gt;0,E351+(D353*E364),0),IF(E364&gt;0,E351-(D353*E364),0))</f>
        <v>0</v>
      </c>
      <c r="J364" s="329">
        <f>IF(C351&gt;E351,IF(F364&gt;0,E351+(D353*F364),0),IF(F364&gt;0,E351-(D353*F364),0))</f>
        <v>0</v>
      </c>
      <c r="K364" s="146">
        <f>IF(C364&gt;0,IF(G364&lt;K351,K351-G364,G364-K351),0)</f>
        <v>9.9199999999999955E-2</v>
      </c>
      <c r="L364" s="147">
        <f>IF(D364&gt;0,IF(H364&lt;K351,K351-H364,H364-K351),0)</f>
        <v>1.6000000000000458E-3</v>
      </c>
      <c r="M364" s="147">
        <f>IF(E364&gt;0,IF(I364&lt;K351,K351-I364,I364-K351),0)</f>
        <v>0</v>
      </c>
      <c r="N364" s="148">
        <f>IF(F364&gt;0,IF(J364&lt;K351,K351-J364,J364-K351),0)</f>
        <v>0</v>
      </c>
      <c r="O364" s="152">
        <f>IF(C364=0,"No Data",G364)</f>
        <v>1.5708</v>
      </c>
      <c r="P364" s="144">
        <f>IF(D364=0,"No Data",H364)</f>
        <v>1.6716</v>
      </c>
      <c r="Q364" s="144" t="str">
        <f t="shared" si="163"/>
        <v>No Data</v>
      </c>
      <c r="R364" s="153" t="str">
        <f>IF(F364=0,"No Data",J364)</f>
        <v>No Data</v>
      </c>
      <c r="S364" s="149">
        <f t="shared" si="165"/>
        <v>1.6716</v>
      </c>
      <c r="T364" s="150">
        <f t="shared" ref="T364:T365" si="167">MIN(O364:R364)</f>
        <v>1.5708</v>
      </c>
      <c r="W364" s="3"/>
      <c r="X364" s="2">
        <v>12</v>
      </c>
      <c r="Y364" s="311" t="s">
        <v>57</v>
      </c>
      <c r="Z364" s="312" t="str">
        <f>CONCATENATE(IF(AND(C351&gt;E351,K351&gt;G351),"[Structure Violation: D passed B] ",""),IF(AND(C351&lt;E351,K351&lt;G351),"[Structure Violation: D passed B] ",""))</f>
        <v xml:space="preserve">[Structure Violation: D passed B] </v>
      </c>
      <c r="AA364" s="381" t="s">
        <v>89</v>
      </c>
      <c r="AB364" s="382"/>
      <c r="AC364" s="382"/>
      <c r="AD364" s="383"/>
    </row>
    <row r="365" spans="1:30" ht="15.75" thickBot="1" x14ac:dyDescent="0.3">
      <c r="A365" s="125" t="s">
        <v>29</v>
      </c>
      <c r="B365" s="331" t="s">
        <v>7</v>
      </c>
      <c r="C365" s="332">
        <v>1</v>
      </c>
      <c r="D365" s="333">
        <v>1.272</v>
      </c>
      <c r="E365" s="333"/>
      <c r="F365" s="334"/>
      <c r="G365" s="159">
        <f>IF(C351&gt;E351,IF(C365&gt;0,I351+(F353*C365),0),IF(C365&gt;0,I351-(F353*C365),0))</f>
        <v>1.649</v>
      </c>
      <c r="H365" s="160">
        <f>IF(C351&gt;E351,IF(D365&gt;0,I351+(F353*D365),0),IF(D365&gt;0,I351-(F353*D365),0))</f>
        <v>1.7496400000000001</v>
      </c>
      <c r="I365" s="160">
        <f>IF(C351&gt;E351,IF(E365&gt;0,I351+(F353*E365),0),IF(E365&gt;0,I351-(F353*E365),0))</f>
        <v>0</v>
      </c>
      <c r="J365" s="160">
        <f>IF(C351&gt;E351,IF(F365&gt;0,I351+(F353*F365),0),IF(F365&gt;0,I351-(F353*F365),0))</f>
        <v>0</v>
      </c>
      <c r="K365" s="162">
        <f>IF(C365&gt;0,IF(G365&lt;K351,K351-G365,G365-K351),0)</f>
        <v>2.0999999999999908E-2</v>
      </c>
      <c r="L365" s="163">
        <f>IF(D365&gt;0,IF(H365&lt;K351,K351-H365,H365-K351),0)</f>
        <v>7.9640000000000155E-2</v>
      </c>
      <c r="M365" s="163">
        <f>IF(E365&gt;0,IF(I365&lt;K351,K351-I365,I365-K351),0)</f>
        <v>0</v>
      </c>
      <c r="N365" s="164">
        <f>IF(F365&gt;0,IF(J365&lt;K351,K351-J365,J365-K351),0)</f>
        <v>0</v>
      </c>
      <c r="O365" s="159">
        <f t="shared" ref="O365" si="168">IF(C365=0,"No Data",G365)</f>
        <v>1.649</v>
      </c>
      <c r="P365" s="160">
        <f t="shared" ref="P365" si="169">IF(D365=0,"No Data",H365)</f>
        <v>1.7496400000000001</v>
      </c>
      <c r="Q365" s="160" t="str">
        <f t="shared" si="163"/>
        <v>No Data</v>
      </c>
      <c r="R365" s="161" t="str">
        <f t="shared" ref="R365:R369" si="170">IF(F365=0,"No Data",J365)</f>
        <v>No Data</v>
      </c>
      <c r="S365" s="165">
        <f t="shared" si="165"/>
        <v>1.7496400000000001</v>
      </c>
      <c r="T365" s="166">
        <f t="shared" si="167"/>
        <v>1.649</v>
      </c>
      <c r="W365" s="3"/>
      <c r="X365" s="2">
        <v>13</v>
      </c>
      <c r="Y365" s="311" t="s">
        <v>57</v>
      </c>
      <c r="Z365" s="312" t="str">
        <f>CONCATENATE(IF(AND(C351&gt;E351,G351&lt;C351),"[Structure Violation: B below X] ",""),IF(AND(C351&lt;E351,G351&gt;C351),"[Structure Violation: B above X] ",""))</f>
        <v xml:space="preserve">[Structure Violation: B below X] </v>
      </c>
      <c r="AA365" s="381" t="s">
        <v>90</v>
      </c>
      <c r="AB365" s="382"/>
      <c r="AC365" s="382"/>
      <c r="AD365" s="383"/>
    </row>
    <row r="366" spans="1:30" ht="16.5" thickTop="1" thickBot="1" x14ac:dyDescent="0.3">
      <c r="A366" s="12" t="s">
        <v>47</v>
      </c>
      <c r="B366" s="335" t="s">
        <v>6</v>
      </c>
      <c r="C366" s="336">
        <v>2</v>
      </c>
      <c r="D366" s="337">
        <v>2.2360000000000002</v>
      </c>
      <c r="E366" s="337">
        <v>2.6179999999999999</v>
      </c>
      <c r="F366" s="338">
        <v>2.786</v>
      </c>
      <c r="G366" s="339">
        <f>E349*C366</f>
        <v>18</v>
      </c>
      <c r="H366" s="174">
        <f>E349*D366</f>
        <v>20.124000000000002</v>
      </c>
      <c r="I366" s="175">
        <f>E349*E366</f>
        <v>23.561999999999998</v>
      </c>
      <c r="J366" s="176">
        <f>E349*F366</f>
        <v>25.074000000000002</v>
      </c>
      <c r="K366" s="177">
        <f>IF(C366=0,0,IF(K349&gt;G366,K349-G366,G366-K349))</f>
        <v>12</v>
      </c>
      <c r="L366" s="178">
        <f>IF(D366=0,0,IF(K349&gt;H366,K349-H366,H366-K349))</f>
        <v>9.8759999999999977</v>
      </c>
      <c r="M366" s="178">
        <f>IF(E366=0,0,IF(K349&gt;I366,K349-I366,I366-K349))</f>
        <v>6.4380000000000024</v>
      </c>
      <c r="N366" s="179">
        <f>IF(F366=0,0,IF(K349&gt;J366,K349-J366,J366-K349))</f>
        <v>4.9259999999999984</v>
      </c>
      <c r="O366" s="339">
        <f>IF(C366=0,"No Data",G366)</f>
        <v>18</v>
      </c>
      <c r="P366" s="174">
        <f>IF(D366=0,"No Data",H366)</f>
        <v>20.124000000000002</v>
      </c>
      <c r="Q366" s="175">
        <f t="shared" si="163"/>
        <v>23.561999999999998</v>
      </c>
      <c r="R366" s="176">
        <f t="shared" si="170"/>
        <v>25.074000000000002</v>
      </c>
      <c r="S366" s="180"/>
      <c r="T366" s="181"/>
      <c r="W366" s="3"/>
      <c r="X366" s="2">
        <v>14</v>
      </c>
      <c r="Y366" s="311" t="s">
        <v>57</v>
      </c>
      <c r="Z366" s="312" t="str">
        <f>CONCATENATE(IF(AND(E351&gt;G351,M351&gt;I351),"[Structure Violation: E passed C] ",""),IF(AND(E351&lt;G351,M351&lt;I351),"[Structure Violation: E passed C] ",""))</f>
        <v xml:space="preserve">[Structure Violation: E passed C] </v>
      </c>
      <c r="AA366" s="381" t="s">
        <v>94</v>
      </c>
      <c r="AB366" s="382"/>
      <c r="AC366" s="382"/>
      <c r="AD366" s="383"/>
    </row>
    <row r="367" spans="1:30" ht="15.75" thickBot="1" x14ac:dyDescent="0.3">
      <c r="A367" s="12" t="s">
        <v>47</v>
      </c>
      <c r="B367" s="340" t="s">
        <v>74</v>
      </c>
      <c r="C367" s="341">
        <v>2</v>
      </c>
      <c r="D367" s="342"/>
      <c r="E367" s="342"/>
      <c r="F367" s="351"/>
      <c r="G367" s="191">
        <f>G349*C367</f>
        <v>32</v>
      </c>
      <c r="H367" s="186">
        <f>G349*D367</f>
        <v>0</v>
      </c>
      <c r="I367" s="186">
        <f>G349*E367</f>
        <v>0</v>
      </c>
      <c r="J367" s="344">
        <f>G349*F367</f>
        <v>0</v>
      </c>
      <c r="K367" s="345">
        <f>IF(C367=0,0,IF(K349&gt;G367,K349-G367,G367-K349))</f>
        <v>2</v>
      </c>
      <c r="L367" s="189">
        <f>IF(D367=0,0,IF(K349&gt;H367,K349-H367,H367-K349))</f>
        <v>0</v>
      </c>
      <c r="M367" s="189">
        <f>IF(E367=0,0,IF(K349&gt;I367,K349-I367,I367-K349))</f>
        <v>0</v>
      </c>
      <c r="N367" s="178">
        <f>IF(F367=0,0,IF(K349&gt;J367,K349-J367,J367-K349))</f>
        <v>0</v>
      </c>
      <c r="O367" s="191">
        <f>IF(C367=0,"No Data",G367)</f>
        <v>32</v>
      </c>
      <c r="P367" s="186" t="str">
        <f t="shared" ref="P367:P369" si="171">IF(D367=0,"No Data",H367)</f>
        <v>No Data</v>
      </c>
      <c r="Q367" s="186" t="str">
        <f t="shared" si="163"/>
        <v>No Data</v>
      </c>
      <c r="R367" s="344" t="str">
        <f t="shared" si="170"/>
        <v>No Data</v>
      </c>
      <c r="S367" s="195"/>
      <c r="T367" s="196"/>
      <c r="W367" s="3"/>
      <c r="X367" s="2">
        <v>15</v>
      </c>
      <c r="Y367" s="311" t="s">
        <v>57</v>
      </c>
      <c r="Z367" s="317"/>
      <c r="AA367" s="346"/>
      <c r="AB367" s="347"/>
      <c r="AC367" s="347"/>
      <c r="AD367" s="348"/>
    </row>
    <row r="368" spans="1:30" ht="15.75" thickBot="1" x14ac:dyDescent="0.3">
      <c r="A368" s="12" t="s">
        <v>46</v>
      </c>
      <c r="B368" s="139" t="s">
        <v>6</v>
      </c>
      <c r="C368" s="349">
        <v>1</v>
      </c>
      <c r="D368" s="350">
        <v>1.6180000000000001</v>
      </c>
      <c r="E368" s="350">
        <v>1.786</v>
      </c>
      <c r="F368" s="343"/>
      <c r="G368" s="201">
        <f>E349*C368</f>
        <v>9</v>
      </c>
      <c r="H368" s="202">
        <f>E349*D368</f>
        <v>14.562000000000001</v>
      </c>
      <c r="I368" s="202">
        <f>E349*E368</f>
        <v>16.074000000000002</v>
      </c>
      <c r="J368" s="203">
        <f>E349*F368</f>
        <v>0</v>
      </c>
      <c r="K368" s="204">
        <f>IF(C368=0,0,IF(G349&gt;G368,G349-G368,G368-G349))</f>
        <v>7</v>
      </c>
      <c r="L368" s="205">
        <f>IF(D368=0,0,IF(G349&gt;H368,G349-H368,H368-G349))</f>
        <v>1.4379999999999988</v>
      </c>
      <c r="M368" s="205">
        <f>IF(E368=0,0,IF(G349&gt;I368,G349-I368,I368-G349))</f>
        <v>7.400000000000162E-2</v>
      </c>
      <c r="N368" s="206">
        <f>IF(F368=0,0,IF(G349&gt;J368,G349-J368,J368-G349))</f>
        <v>0</v>
      </c>
      <c r="O368" s="201">
        <f t="shared" ref="O368:O369" si="172">IF(C368=0,"No Data",G368)</f>
        <v>9</v>
      </c>
      <c r="P368" s="202">
        <f t="shared" si="171"/>
        <v>14.562000000000001</v>
      </c>
      <c r="Q368" s="202">
        <f t="shared" si="163"/>
        <v>16.074000000000002</v>
      </c>
      <c r="R368" s="203" t="str">
        <f t="shared" si="170"/>
        <v>No Data</v>
      </c>
      <c r="S368" s="207"/>
      <c r="T368" s="208"/>
      <c r="W368" s="3"/>
    </row>
    <row r="369" spans="1:29" ht="15.75" thickBot="1" x14ac:dyDescent="0.3">
      <c r="A369" s="12" t="s">
        <v>66</v>
      </c>
      <c r="B369" s="354" t="s">
        <v>6</v>
      </c>
      <c r="C369" s="355"/>
      <c r="D369" s="356"/>
      <c r="E369" s="356"/>
      <c r="F369" s="357"/>
      <c r="G369" s="213">
        <f>E349*C369</f>
        <v>0</v>
      </c>
      <c r="H369" s="214">
        <f>E349*D369</f>
        <v>0</v>
      </c>
      <c r="I369" s="214">
        <f>E349*E369</f>
        <v>0</v>
      </c>
      <c r="J369" s="215">
        <f>E349*F369</f>
        <v>0</v>
      </c>
      <c r="K369" s="216">
        <f>IF(C369=0,0,IF(I349&gt;G369,I349-G369,G369-I349))</f>
        <v>0</v>
      </c>
      <c r="L369" s="217">
        <f>IF(D369=0,0,IF(I349&gt;H369,I349-H369,H369-I349))</f>
        <v>0</v>
      </c>
      <c r="M369" s="217">
        <f>IF(E369=0,0,IF(I349&gt;I369,I349-I369,I369-I349))</f>
        <v>0</v>
      </c>
      <c r="N369" s="218">
        <f>IF(F369=0,0,IF(I349&gt;J369,I349-J369,J369-I349))</f>
        <v>0</v>
      </c>
      <c r="O369" s="213" t="str">
        <f t="shared" si="172"/>
        <v>No Data</v>
      </c>
      <c r="P369" s="214" t="str">
        <f t="shared" si="171"/>
        <v>No Data</v>
      </c>
      <c r="Q369" s="214" t="str">
        <f t="shared" si="163"/>
        <v>No Data</v>
      </c>
      <c r="R369" s="215" t="str">
        <f t="shared" si="170"/>
        <v>No Data</v>
      </c>
      <c r="S369" s="219"/>
      <c r="T369" s="220"/>
      <c r="W369" s="3"/>
    </row>
    <row r="370" spans="1:29" ht="15.75" thickBot="1" x14ac:dyDescent="0.3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226"/>
      <c r="W370" s="3"/>
    </row>
    <row r="371" spans="1:29" ht="15.75" thickBot="1" x14ac:dyDescent="0.3">
      <c r="A371" s="76"/>
      <c r="C371" s="365" t="s">
        <v>53</v>
      </c>
      <c r="D371" s="366"/>
      <c r="E371" s="366"/>
      <c r="F371" s="367"/>
      <c r="G371" s="365" t="s">
        <v>68</v>
      </c>
      <c r="H371" s="366"/>
      <c r="I371" s="367"/>
      <c r="K371" s="223"/>
      <c r="L371" s="224"/>
      <c r="M371" s="224"/>
      <c r="N371" s="224"/>
      <c r="O371" s="224"/>
      <c r="P371" s="225"/>
      <c r="Q371" s="226"/>
      <c r="R371" s="226"/>
      <c r="S371" s="227"/>
      <c r="T371" s="226"/>
      <c r="U371" s="76"/>
      <c r="W371" s="3"/>
    </row>
    <row r="372" spans="1:29" ht="15.75" thickBot="1" x14ac:dyDescent="0.3">
      <c r="A372" s="115" t="s">
        <v>10</v>
      </c>
      <c r="B372" s="116" t="s">
        <v>51</v>
      </c>
      <c r="C372" s="228">
        <v>1</v>
      </c>
      <c r="D372" s="228">
        <v>2</v>
      </c>
      <c r="E372" s="228">
        <v>3</v>
      </c>
      <c r="F372" s="228">
        <v>4</v>
      </c>
      <c r="G372" s="229" t="s">
        <v>69</v>
      </c>
      <c r="H372" s="230" t="s">
        <v>35</v>
      </c>
      <c r="I372" s="230" t="s">
        <v>55</v>
      </c>
      <c r="K372" s="452" t="s">
        <v>134</v>
      </c>
      <c r="L372" s="453"/>
      <c r="M372" s="452" t="s">
        <v>135</v>
      </c>
      <c r="N372" s="453"/>
      <c r="O372" s="452" t="s">
        <v>136</v>
      </c>
      <c r="P372" s="453"/>
      <c r="W372" s="3"/>
    </row>
    <row r="373" spans="1:29" ht="15.75" customHeight="1" thickBot="1" x14ac:dyDescent="0.3">
      <c r="A373" s="125" t="s">
        <v>11</v>
      </c>
      <c r="B373" s="320" t="s">
        <v>6</v>
      </c>
      <c r="C373" s="231">
        <f>IF(C361=0,"No Data",K361/(F354/100))</f>
        <v>61.431064572425825</v>
      </c>
      <c r="D373" s="232">
        <f>IF(D361=0,"No Data",L361/(F355/100))</f>
        <v>0.2157497303128133</v>
      </c>
      <c r="E373" s="233" t="str">
        <f>IF(E361=0,"No Data",M361/(F356/100))</f>
        <v>No Data</v>
      </c>
      <c r="F373" s="232" t="str">
        <f>IF(F361=0,"No Data",N361/(F357/100))</f>
        <v>No Data</v>
      </c>
      <c r="G373" s="234" t="str">
        <f>IF(COUNT(O361:R361)=1,"1Fib",IF(COUNT(O361:R361)&lt;2,"No Data",IF(AND(S361&gt;G351,G351&gt;T361),"Yes","No")))</f>
        <v>Yes</v>
      </c>
      <c r="H373" s="235">
        <f>IF(COUNTBLANK(C361:F361)=4,"No Data",MIN(C373:F373))</f>
        <v>0.2157497303128133</v>
      </c>
      <c r="I373" s="236"/>
      <c r="K373" s="238" t="str">
        <f>CONCATENATE(IF(L373=1,IF(OR(AND(G373="1Fib",H373&lt;$Z$51),AND(G373="Yes",H373&lt;$Z$51),AND(G373="No",H373&lt;$Z$51)),"Valid","Invalid"),""),IF(L373=2,IF(OR(AND(G373="1Fib",H373&lt;$Z$51),AND(G373="Yes",H373&lt;$Z$51),AND(G373="Yes",H373&gt;$Z$51)),"Valid","Invalid"),""),IF(L373=3,IF(OR(AND(G373="1Fib",H373&lt;$Z$51),AND(G373="Yes",H373&lt;$Z$51),AND(G373="Yes",H373&gt;$Z$51),AND(G373="No",H373&lt;$Z$51)),"Valid","Invalid"),""))</f>
        <v>Valid</v>
      </c>
      <c r="L373" s="342">
        <v>1</v>
      </c>
      <c r="M373" s="238" t="str">
        <f>CONCATENATE(IF(N373=1,IF(OR(AND(G373="1Fib",H373&lt;$Z$51),AND(G373="Yes",H373&lt;$Z$51),AND(G373="No",H373&lt;$Z$51)),"Valid","Invalid"),""),IF(N373=2,IF(OR(AND(G373="1Fib",H373&lt;$Z$51),AND(G373="Yes",H373&lt;$Z$51),AND(G373="Yes",H373&gt;$Z$51)),"Valid","Invalid"),""),IF(N373=3,IF(OR(AND(G373="1Fib",H373&lt;$Z$51),AND(G373="Yes",H373&lt;$Z$51),AND(G373="Yes",H373&gt;$Z$51),AND(G373="No",H373&lt;$Z$51)),"Valid","Invalid"),""))</f>
        <v>Valid</v>
      </c>
      <c r="N373" s="342">
        <v>1</v>
      </c>
      <c r="O373" s="238" t="str">
        <f>CONCATENATE(IF(P373=1,IF(OR(AND(G373="1Fib",H373&lt;$Z$51),AND(G373="Yes",H373&lt;$Z$51),AND(G373="No",H373&lt;$Z$51)),"Valid","Invalid"),""),IF(P373=2,IF(OR(AND(G373="1Fib",H373&lt;$Z$51),AND(G373="Yes",H373&lt;$Z$51),AND(G373="Yes",H373&gt;$Z$51)),"Valid","Invalid"),""),IF(P373=3,IF(OR(AND(G373="1Fib",H373&lt;$Z$51),AND(G373="Yes",H373&lt;$Z$51),AND(G373="Yes",H373&gt;$Z$51),AND(G373="No",H373&lt;$Z$51)),"Valid","Invalid"),""))</f>
        <v>Valid</v>
      </c>
      <c r="P373" s="342">
        <v>3</v>
      </c>
      <c r="Q373" s="242" t="s">
        <v>106</v>
      </c>
      <c r="R373" s="243">
        <f>IF(Z378="Y",I375,MAX(H373, H374, I375))</f>
        <v>11.231773534256623</v>
      </c>
      <c r="S373" s="372" t="str">
        <f>IF(R379="","Structure approved","Structure fault!")</f>
        <v>Structure fault!</v>
      </c>
      <c r="T373" s="373"/>
      <c r="U373" s="374"/>
      <c r="W373" s="3"/>
      <c r="Y373" s="226"/>
      <c r="Z373" s="418" t="s">
        <v>45</v>
      </c>
      <c r="AA373" s="419"/>
      <c r="AB373" s="420"/>
      <c r="AC373" s="226"/>
    </row>
    <row r="374" spans="1:29" ht="15.75" customHeight="1" thickBot="1" x14ac:dyDescent="0.3">
      <c r="A374" s="125" t="s">
        <v>12</v>
      </c>
      <c r="B374" s="324" t="s">
        <v>7</v>
      </c>
      <c r="C374" s="244">
        <f>IF(C362=0,"No Data",K362/(H354/100))</f>
        <v>105.88651478703841</v>
      </c>
      <c r="D374" s="245">
        <f>IF(D362=0,"No Data",L362/(H355/100))</f>
        <v>11.231773534256623</v>
      </c>
      <c r="E374" s="246" t="str">
        <f>IF(E362=0,"No Data",M362/(H356/100))</f>
        <v>No Data</v>
      </c>
      <c r="F374" s="245" t="str">
        <f>IF(F362=0,"No Data",N362/(H357/100))</f>
        <v>No Data</v>
      </c>
      <c r="G374" s="247" t="str">
        <f>IF(COUNT(O362:R362)=1,"1Fib",IF(COUNT(O362:R362)&lt;2,"No Data",IF(AND(S362&gt;I351,I351&gt;T362),"Yes","No")))</f>
        <v>Yes</v>
      </c>
      <c r="H374" s="270">
        <f>IF(COUNTBLANK(C362:F362)=4,"No Data",MIN(C374:F374))</f>
        <v>11.231773534256623</v>
      </c>
      <c r="I374" s="248"/>
      <c r="K374" s="249" t="str">
        <f>CONCATENATE(IF(L374=1,IF(OR(AND(G374="1Fib",H374&lt;$Z$51),AND(G374="Yes",H374&lt;$Z$51),AND(G374="No",H374&lt;$Z$51)),"Valid","Invalid"),""),IF(L374=2,IF(OR(AND(G374="1Fib",H374&lt;$Z$51),AND(G374="Yes",H374&lt;$Z$51),AND(G374="Yes",H374&gt;$Z$51)),"Valid","Invalid"),""),IF(L374=3,IF(OR(AND(G374="1Fib",H374&lt;$Z$51),AND(G374="Yes",H374&lt;$Z$51),AND(G374="Yes",H374&gt;$Z$51),AND(G374="No",H374&lt;$Z$51)),"Valid","Invalid"),""))</f>
        <v>Valid</v>
      </c>
      <c r="L374" s="342">
        <v>2</v>
      </c>
      <c r="M374" s="249" t="str">
        <f>CONCATENATE(IF(N374=1,IF(OR(AND(G374="1Fib",H374&lt;$Z$51),AND(G374="Yes",H374&lt;$Z$51),AND(G374="No",H374&lt;$Z$51)),"Valid","Invalid"),""),IF(N374=2,IF(OR(AND(G374="1Fib",H374&lt;$Z$51),AND(G374="Yes",H374&lt;$Z$51),AND(G374="Yes",H374&gt;$Z$51)),"Valid","Invalid"),""),IF(N374=3,IF(OR(AND(G374="1Fib",H374&lt;$Z$51),AND(G374="Yes",H374&lt;$Z$51),AND(G374="Yes",H374&gt;$Z$51),AND(G374="No",H374&lt;$Z$51)),"Valid","Invalid"),""))</f>
        <v>Invalid</v>
      </c>
      <c r="N374" s="342">
        <v>1</v>
      </c>
      <c r="O374" s="249" t="str">
        <f>CONCATENATE(IF(P374=1,IF(OR(AND(G374="1Fib",H374&lt;$Z$51),AND(G374="Yes",H374&lt;$Z$51),AND(G374="No",H374&lt;$Z$51)),"Valid","Invalid"),""),IF(P374=2,IF(OR(AND(G374="1Fib",H374&lt;$Z$51),AND(G374="Yes",H374&lt;$Z$51),AND(G374="Yes",H374&gt;$Z$51)),"Valid","Invalid"),""),IF(P374=3,IF(OR(AND(G374="1Fib",H374&lt;$Z$51),AND(G374="Yes",H374&lt;$Z$51),AND(G374="Yes",H374&gt;$Z$51),AND(G374="No",H374&lt;$Z$51)),"Valid","Invalid"),""))</f>
        <v>Valid</v>
      </c>
      <c r="P374" s="342">
        <v>3</v>
      </c>
      <c r="Q374" s="250" t="s">
        <v>107</v>
      </c>
      <c r="R374" s="243">
        <f>IF(Z378="Y",I378,MAX(H381,H380,I378))</f>
        <v>6.25</v>
      </c>
      <c r="S374" s="375"/>
      <c r="T374" s="376"/>
      <c r="U374" s="377"/>
      <c r="W374" s="3"/>
      <c r="Y374" s="2"/>
      <c r="Z374" s="95" t="s">
        <v>43</v>
      </c>
      <c r="AB374" s="95" t="s">
        <v>44</v>
      </c>
    </row>
    <row r="375" spans="1:29" ht="15.75" customHeight="1" thickBot="1" x14ac:dyDescent="0.3">
      <c r="A375" s="125" t="s">
        <v>13</v>
      </c>
      <c r="B375" s="324" t="s">
        <v>8</v>
      </c>
      <c r="C375" s="251">
        <f>IF(C363=0,"No Data",K363/(J354/100))</f>
        <v>19.117252808851809</v>
      </c>
      <c r="D375" s="252">
        <f>IF(D363=0,"No Data",L363/(J355/100))</f>
        <v>39.90864885134846</v>
      </c>
      <c r="E375" s="253" t="str">
        <f>IF(E363=0,"No Data",M363/(J356/100))</f>
        <v>No Data</v>
      </c>
      <c r="F375" s="252" t="str">
        <f>IF(F363=0,"No Data",N363/(J357/100))</f>
        <v>No Data</v>
      </c>
      <c r="G375" s="247" t="str">
        <f>IF(COUNT(O363:R363)=1,"1Fib",IF(COUNT(O363:R363)&lt;2,"No Data",IF(AND(S363&gt;K351,K351&gt;T363),"Yes","No")))</f>
        <v>Yes</v>
      </c>
      <c r="H375" s="270">
        <f>IF(COUNTBLANK(C363:F363)=4,"No Data",MIN(C375:F375))</f>
        <v>19.117252808851809</v>
      </c>
      <c r="I375" s="254">
        <f>MIN(C375:F377)</f>
        <v>0.33927056827821156</v>
      </c>
      <c r="J375" s="2" t="s">
        <v>32</v>
      </c>
      <c r="K375" s="249" t="str">
        <f t="shared" ref="K375:K377" si="173">CONCATENATE(IF(L375=1,IF(OR(AND(G375="1Fib",H375&lt;$Z$51),AND(G375="Yes",H375&lt;$Z$51),AND(G375="No",H375&lt;$Z$51)),"Valid","Invalid"),""),IF(L375=2,IF(OR(AND(G375="1Fib",H375&lt;$Z$51),AND(G375="Yes",H375&lt;$Z$51),AND(G375="Yes",H375&gt;$Z$51)),"Valid","Invalid"),""),IF(L375=3,IF(OR(AND(G375="1Fib",H375&lt;$Z$51),AND(G375="Yes",H375&lt;$Z$51),AND(G375="Yes",H375&gt;$Z$51),AND(G375="No",H375&lt;$Z$51)),"Valid","Invalid"),""))</f>
        <v>Valid</v>
      </c>
      <c r="L375" s="342">
        <v>2</v>
      </c>
      <c r="M375" s="249" t="str">
        <f t="shared" ref="M375:M377" si="174">CONCATENATE(IF(N375=1,IF(OR(AND(G375="1Fib",H375&lt;$Z$51),AND(G375="Yes",H375&lt;$Z$51),AND(G375="No",H375&lt;$Z$51)),"Valid","Invalid"),""),IF(N375=2,IF(OR(AND(G375="1Fib",H375&lt;$Z$51),AND(G375="Yes",H375&lt;$Z$51),AND(G375="Yes",H375&gt;$Z$51)),"Valid","Invalid"),""),IF(N375=3,IF(OR(AND(G375="1Fib",H375&lt;$Z$51),AND(G375="Yes",H375&lt;$Z$51),AND(G375="Yes",H375&gt;$Z$51),AND(G375="No",H375&lt;$Z$51)),"Valid","Invalid"),""))</f>
        <v>Invalid</v>
      </c>
      <c r="N375" s="342">
        <v>1</v>
      </c>
      <c r="O375" s="249" t="str">
        <f t="shared" ref="O375:O377" si="175">CONCATENATE(IF(P375=1,IF(OR(AND(G375="1Fib",H375&lt;$Z$51),AND(G375="Yes",H375&lt;$Z$51),AND(G375="No",H375&lt;$Z$51)),"Valid","Invalid"),""),IF(P375=2,IF(OR(AND(G375="1Fib",H375&lt;$Z$51),AND(G375="Yes",H375&lt;$Z$51),AND(G375="Yes",H375&gt;$Z$51)),"Valid","Invalid"),""),IF(P375=3,IF(OR(AND(G375="1Fib",H375&lt;$Z$51),AND(G375="Yes",H375&lt;$Z$51),AND(G375="Yes",H375&gt;$Z$51),AND(G375="No",H375&lt;$Z$51)),"Valid","Invalid"),""))</f>
        <v>Valid</v>
      </c>
      <c r="P375" s="342">
        <v>3</v>
      </c>
      <c r="Q375" s="242" t="s">
        <v>108</v>
      </c>
      <c r="R375" s="243">
        <f>IF(Z378="Y",MAX(H375:H377),MAX(H373,H374,I375,I378,H380,H381))</f>
        <v>11.231773534256623</v>
      </c>
      <c r="S375" s="375"/>
      <c r="T375" s="376"/>
      <c r="U375" s="377"/>
      <c r="W375" s="3"/>
      <c r="Y375" s="255" t="s">
        <v>28</v>
      </c>
      <c r="Z375" s="256">
        <f>Z339</f>
        <v>8</v>
      </c>
      <c r="AA375" s="2" t="s">
        <v>15</v>
      </c>
      <c r="AB375" s="256">
        <f>AB339</f>
        <v>10</v>
      </c>
      <c r="AC375" s="2" t="s">
        <v>15</v>
      </c>
    </row>
    <row r="376" spans="1:29" ht="15.75" customHeight="1" thickBot="1" x14ac:dyDescent="0.3">
      <c r="A376" s="125" t="s">
        <v>14</v>
      </c>
      <c r="B376" s="324" t="s">
        <v>6</v>
      </c>
      <c r="C376" s="251">
        <f>IF(C364=0,"No Data",K364/(L354/100))</f>
        <v>26.752966558791783</v>
      </c>
      <c r="D376" s="252">
        <f>IF(D364=0,"No Data",L364/(L355/100))</f>
        <v>0.33927056827821156</v>
      </c>
      <c r="E376" s="253" t="str">
        <f>IF(E364=0,"No Data",M364/(L356/100))</f>
        <v>No Data</v>
      </c>
      <c r="F376" s="252" t="str">
        <f>IF(F364=0,"No Data",N364/(L357/100))</f>
        <v>No Data</v>
      </c>
      <c r="G376" s="247" t="str">
        <f>IF(COUNT(O364:R364)=1,"1Fib",IF(COUNT(O364:R364)&lt;2,"No Data",IF(AND(S364&gt;K351,K351&gt;T364),"Yes","No")))</f>
        <v>Yes</v>
      </c>
      <c r="H376" s="270">
        <f>IF(COUNTBLANK(C364:F364)=4,"No Data",MIN(C376:F376))</f>
        <v>0.33927056827821156</v>
      </c>
      <c r="I376" s="257">
        <f>MAX(O363:R365)-MIN(O363:R365)</f>
        <v>0.35887600000000019</v>
      </c>
      <c r="J376" s="2" t="s">
        <v>40</v>
      </c>
      <c r="K376" s="249" t="str">
        <f t="shared" si="173"/>
        <v>Valid</v>
      </c>
      <c r="L376" s="342">
        <v>1</v>
      </c>
      <c r="M376" s="249" t="str">
        <f t="shared" si="174"/>
        <v>Valid</v>
      </c>
      <c r="N376" s="342">
        <v>1</v>
      </c>
      <c r="O376" s="249" t="str">
        <f t="shared" si="175"/>
        <v>Valid</v>
      </c>
      <c r="P376" s="342">
        <v>3</v>
      </c>
      <c r="Q376" s="242" t="s">
        <v>54</v>
      </c>
      <c r="R376" s="258">
        <f>SUM(H373,H374,I375)/COUNT(H373,H374,I375)</f>
        <v>3.9289312776158827</v>
      </c>
      <c r="S376" s="375"/>
      <c r="T376" s="376"/>
      <c r="U376" s="377"/>
      <c r="W376" s="3"/>
      <c r="Y376" s="95"/>
      <c r="Z376" s="2"/>
      <c r="AA376" s="95"/>
      <c r="AB376" s="95"/>
      <c r="AC376" s="259"/>
    </row>
    <row r="377" spans="1:29" ht="15.75" customHeight="1" thickBot="1" x14ac:dyDescent="0.3">
      <c r="A377" s="125" t="s">
        <v>29</v>
      </c>
      <c r="B377" s="331" t="s">
        <v>7</v>
      </c>
      <c r="C377" s="260">
        <f>IF(C365=0,"No Data",K365/(N354/100))</f>
        <v>5.6756756756756488</v>
      </c>
      <c r="D377" s="261">
        <f>IF(D365=0,"No Data",L365/(N355/100))</f>
        <v>16.921638619751853</v>
      </c>
      <c r="E377" s="262" t="str">
        <f>IF(E365=0,"No Data",M365/(N356/100))</f>
        <v>No Data</v>
      </c>
      <c r="F377" s="261" t="str">
        <f>IF(F365=0,"No Data",N365/(N357/100))</f>
        <v>No Data</v>
      </c>
      <c r="G377" s="263" t="str">
        <f>IF(COUNT(O365:R365)=1,"1Fib",IF(COUNT(O365:R365)&lt;2,"No Data",IF(AND(S365&gt;K351,K351&gt;T365),"Yes","No")))</f>
        <v>Yes</v>
      </c>
      <c r="H377" s="264">
        <f>IF(COUNTBLANK(C365:F365)=4,"No Data",MIN(C377:F377))</f>
        <v>5.6756756756756488</v>
      </c>
      <c r="I377" s="265">
        <f>COUNT(C375:F377)</f>
        <v>6</v>
      </c>
      <c r="J377" s="2" t="s">
        <v>41</v>
      </c>
      <c r="K377" s="249" t="str">
        <f t="shared" si="173"/>
        <v>Valid</v>
      </c>
      <c r="L377" s="342">
        <v>1</v>
      </c>
      <c r="M377" s="249" t="str">
        <f t="shared" si="174"/>
        <v>Valid</v>
      </c>
      <c r="N377" s="342">
        <v>1</v>
      </c>
      <c r="O377" s="249" t="str">
        <f t="shared" si="175"/>
        <v>Valid</v>
      </c>
      <c r="P377" s="342">
        <v>3</v>
      </c>
      <c r="Q377" s="250" t="s">
        <v>48</v>
      </c>
      <c r="R377" s="243">
        <f>SUM(I378,H380,H381)/COUNT(I378,H380,H381)</f>
        <v>2.2367902617062785</v>
      </c>
      <c r="S377" s="375"/>
      <c r="T377" s="376"/>
      <c r="U377" s="377"/>
      <c r="W377" s="3"/>
      <c r="Y377" s="2"/>
      <c r="Z377" s="95" t="s">
        <v>38</v>
      </c>
      <c r="AB377" s="95"/>
      <c r="AC377" s="310"/>
    </row>
    <row r="378" spans="1:29" ht="16.5" customHeight="1" thickTop="1" thickBot="1" x14ac:dyDescent="0.3">
      <c r="A378" s="12" t="s">
        <v>47</v>
      </c>
      <c r="B378" s="335" t="s">
        <v>6</v>
      </c>
      <c r="C378" s="268">
        <f>IF(C366=0,"No Data",K366/(G366/100))</f>
        <v>66.666666666666671</v>
      </c>
      <c r="D378" s="268">
        <f t="shared" ref="D378:D381" si="176">IF(D366=0,"No Data",L366/(H366/100))</f>
        <v>49.075730471079289</v>
      </c>
      <c r="E378" s="268">
        <f t="shared" ref="E378:E381" si="177">IF(E366=0,"No Data",M366/(I366/100))</f>
        <v>27.323656735421455</v>
      </c>
      <c r="F378" s="268">
        <f t="shared" ref="F378:F381" si="178">IF(F366=0,"No Data",N366/(J366/100))</f>
        <v>19.645848289064361</v>
      </c>
      <c r="G378" s="269"/>
      <c r="H378" s="270">
        <f>IF(COUNTIF(C366:F366,0)=4,"No Data",MIN(C378:F378))</f>
        <v>19.645848289064361</v>
      </c>
      <c r="I378" s="254">
        <f>MIN(C378:F379)</f>
        <v>6.25</v>
      </c>
      <c r="K378" s="363">
        <f>COUNTIFS(G373:K377,"Valid")</f>
        <v>5</v>
      </c>
      <c r="M378" s="363">
        <f>COUNTIFS(M373:M377,"Valid")</f>
        <v>3</v>
      </c>
      <c r="O378" s="363">
        <f>COUNTIFS(O373:O377,"Valid")</f>
        <v>5</v>
      </c>
      <c r="Q378" s="250" t="s">
        <v>56</v>
      </c>
      <c r="R378" s="243">
        <f>SUM(H373,H374,I375,I378,H380,H381)/COUNT(H373,H374,I375,I378,H380,H381)</f>
        <v>3.0828607696610812</v>
      </c>
      <c r="S378" s="378"/>
      <c r="T378" s="379"/>
      <c r="U378" s="380"/>
      <c r="W378" s="3"/>
      <c r="Y378" s="255" t="s">
        <v>36</v>
      </c>
      <c r="Z378" s="256" t="s">
        <v>57</v>
      </c>
      <c r="AA378" s="255"/>
      <c r="AB378" s="256"/>
      <c r="AC378" s="272"/>
    </row>
    <row r="379" spans="1:29" ht="15.75" customHeight="1" thickBot="1" x14ac:dyDescent="0.3">
      <c r="A379" s="12" t="s">
        <v>47</v>
      </c>
      <c r="B379" s="340" t="s">
        <v>74</v>
      </c>
      <c r="C379" s="273">
        <f t="shared" ref="C379:C381" si="179">IF(C367=0,"No Data",K367/(G367/100))</f>
        <v>6.25</v>
      </c>
      <c r="D379" s="273" t="str">
        <f t="shared" si="176"/>
        <v>No Data</v>
      </c>
      <c r="E379" s="273" t="str">
        <f t="shared" si="177"/>
        <v>No Data</v>
      </c>
      <c r="F379" s="273" t="str">
        <f t="shared" si="178"/>
        <v>No Data</v>
      </c>
      <c r="G379" s="269"/>
      <c r="H379" s="235">
        <f>IF(COUNTIF(C367:F367,0)=4,"No Data",MIN(C379:F379))</f>
        <v>6.25</v>
      </c>
      <c r="I379" s="235"/>
      <c r="K379" s="439" t="s">
        <v>116</v>
      </c>
      <c r="L379" s="439"/>
      <c r="M379" s="439"/>
      <c r="N379" s="439"/>
      <c r="O379" s="439"/>
      <c r="P379" s="439"/>
      <c r="Q379" s="274"/>
      <c r="R379" s="397" t="str">
        <f>CONCATENATE(IF(Y353="Y",Z353,""),IF(Y354="Y",Z354,""),IF(Y355="Y",Z355,""),IF(Y356="Y",Z356,""),IF(Y357="Y",Z357,""),IF(Y358="Y",Z358,""),IF(Y359="Y",Z359,""),IF(Y360="Y",Z360,""),IF(Y361="Y",Z361,""),IF(Y362="Y",Z362,""),IF(Y363="Y",Z363,""),IF(Y364="Y",Z364,""),IF(Y365="Y",Z365,""),IF(Y366="Y",Z366,""),IF(Y367="Y",Z367,""))</f>
        <v>[Weak Structure: More than 8 % Price deviation]</v>
      </c>
      <c r="S379" s="398"/>
      <c r="T379" s="398"/>
      <c r="U379" s="399"/>
      <c r="W379" s="3"/>
      <c r="Y379" s="2"/>
      <c r="Z379" s="2"/>
      <c r="AC379" s="259"/>
    </row>
    <row r="380" spans="1:29" ht="15.75" thickBot="1" x14ac:dyDescent="0.3">
      <c r="A380" s="12" t="s">
        <v>46</v>
      </c>
      <c r="B380" s="139" t="s">
        <v>6</v>
      </c>
      <c r="C380" s="273">
        <f t="shared" si="179"/>
        <v>77.777777777777786</v>
      </c>
      <c r="D380" s="273">
        <f t="shared" si="176"/>
        <v>9.8750171679714249</v>
      </c>
      <c r="E380" s="273">
        <f t="shared" si="177"/>
        <v>0.46037078511883545</v>
      </c>
      <c r="F380" s="273" t="str">
        <f t="shared" si="178"/>
        <v>No Data</v>
      </c>
      <c r="G380" s="275"/>
      <c r="H380" s="235">
        <f>IF(COUNTIF(C368:F368,0)=4,"No Data",MIN(C380:F380))</f>
        <v>0.46037078511883545</v>
      </c>
      <c r="I380" s="235"/>
      <c r="K380" s="440" t="s">
        <v>126</v>
      </c>
      <c r="L380" s="440"/>
      <c r="M380" s="440"/>
      <c r="N380" s="440"/>
      <c r="O380" s="440"/>
      <c r="P380" s="440"/>
      <c r="Q380" s="276" t="s">
        <v>34</v>
      </c>
      <c r="R380" s="400"/>
      <c r="S380" s="401"/>
      <c r="T380" s="401"/>
      <c r="U380" s="402"/>
      <c r="W380" s="3"/>
      <c r="Y380" s="2"/>
      <c r="Z380" s="2"/>
      <c r="AC380" s="259"/>
    </row>
    <row r="381" spans="1:29" ht="15.75" thickBot="1" x14ac:dyDescent="0.3">
      <c r="A381" s="12" t="s">
        <v>66</v>
      </c>
      <c r="B381" s="354" t="s">
        <v>6</v>
      </c>
      <c r="C381" s="277" t="str">
        <f t="shared" si="179"/>
        <v>No Data</v>
      </c>
      <c r="D381" s="277" t="str">
        <f t="shared" si="176"/>
        <v>No Data</v>
      </c>
      <c r="E381" s="277" t="str">
        <f t="shared" si="177"/>
        <v>No Data</v>
      </c>
      <c r="F381" s="277" t="str">
        <f t="shared" si="178"/>
        <v>No Data</v>
      </c>
      <c r="G381" s="278"/>
      <c r="H381" s="235">
        <f>IF(COUNTIF(C369:F369,0)=4,"No Data",MIN(C381:F381))</f>
        <v>0</v>
      </c>
      <c r="I381" s="235"/>
      <c r="K381" s="440" t="s">
        <v>127</v>
      </c>
      <c r="L381" s="440"/>
      <c r="M381" s="440"/>
      <c r="N381" s="440"/>
      <c r="O381" s="440"/>
      <c r="P381" s="440"/>
      <c r="Q381" s="250"/>
      <c r="R381" s="403"/>
      <c r="S381" s="404"/>
      <c r="T381" s="404"/>
      <c r="U381" s="405"/>
      <c r="W381" s="3"/>
      <c r="Y381" s="2"/>
      <c r="Z381" s="256"/>
      <c r="AA381" s="255"/>
      <c r="AB381" s="256"/>
      <c r="AC381" s="259"/>
    </row>
    <row r="382" spans="1:29" x14ac:dyDescent="0.25">
      <c r="I382" s="279"/>
      <c r="J382" s="281"/>
      <c r="K382" s="283"/>
      <c r="L382" s="283"/>
      <c r="M382" s="284"/>
      <c r="N382" s="285"/>
      <c r="O382" s="283"/>
      <c r="P382" s="283"/>
      <c r="W382" s="3"/>
    </row>
    <row r="383" spans="1:29" s="292" customFormat="1" ht="27.75" customHeight="1" x14ac:dyDescent="0.25">
      <c r="A383" s="3"/>
      <c r="B383" s="3"/>
      <c r="C383" s="3"/>
      <c r="D383" s="289"/>
      <c r="E383" s="290"/>
      <c r="F383" s="290"/>
      <c r="G383" s="290"/>
      <c r="M383" s="290"/>
      <c r="N383" s="290"/>
      <c r="O383" s="3"/>
      <c r="P383" s="293"/>
      <c r="Q383" s="294"/>
      <c r="R383" s="295"/>
      <c r="S383" s="295"/>
      <c r="T383" s="3"/>
      <c r="W383" s="3"/>
      <c r="Y383" s="296"/>
      <c r="Z383" s="297"/>
    </row>
    <row r="384" spans="1:29" ht="15.75" thickBot="1" x14ac:dyDescent="0.3">
      <c r="A384" s="78"/>
      <c r="B384" s="78"/>
      <c r="C384" s="78"/>
      <c r="D384" s="298"/>
      <c r="E384" s="259"/>
      <c r="F384" s="259"/>
      <c r="G384" s="259"/>
      <c r="H384" s="259"/>
      <c r="I384" s="259"/>
      <c r="J384" s="259"/>
      <c r="K384" s="259"/>
      <c r="L384" s="259"/>
      <c r="M384" s="259"/>
      <c r="N384" s="259"/>
      <c r="O384" s="78"/>
      <c r="P384" s="78"/>
      <c r="Q384" s="78"/>
      <c r="R384" s="78"/>
      <c r="S384" s="78"/>
      <c r="W384" s="3"/>
    </row>
    <row r="385" spans="1:30" ht="18" customHeight="1" thickBot="1" x14ac:dyDescent="0.35">
      <c r="A385" s="368"/>
      <c r="B385" s="299" t="s">
        <v>95</v>
      </c>
      <c r="C385" s="450">
        <f>C349</f>
        <v>0</v>
      </c>
      <c r="D385" s="451"/>
      <c r="E385" s="450">
        <f>E349</f>
        <v>9</v>
      </c>
      <c r="F385" s="451"/>
      <c r="G385" s="450">
        <f>G349</f>
        <v>16</v>
      </c>
      <c r="H385" s="451"/>
      <c r="I385" s="450">
        <f>I349</f>
        <v>23</v>
      </c>
      <c r="J385" s="451"/>
      <c r="K385" s="450">
        <f>K349</f>
        <v>30</v>
      </c>
      <c r="L385" s="451"/>
      <c r="M385" s="425">
        <f>M349</f>
        <v>33</v>
      </c>
      <c r="N385" s="426"/>
      <c r="O385" s="395"/>
      <c r="P385" s="395"/>
      <c r="Q385" s="395"/>
      <c r="R385" s="395"/>
      <c r="S385" s="395"/>
      <c r="T385" s="395"/>
      <c r="U385" s="395"/>
      <c r="V385" s="395"/>
      <c r="W385" s="3"/>
    </row>
    <row r="386" spans="1:30" ht="34.5" thickBot="1" x14ac:dyDescent="0.3">
      <c r="A386" s="300" t="s">
        <v>42</v>
      </c>
      <c r="B386" s="360">
        <v>10</v>
      </c>
      <c r="C386" s="421" t="s">
        <v>5</v>
      </c>
      <c r="D386" s="422"/>
      <c r="E386" s="421" t="s">
        <v>1</v>
      </c>
      <c r="F386" s="422"/>
      <c r="G386" s="421" t="s">
        <v>2</v>
      </c>
      <c r="H386" s="422"/>
      <c r="I386" s="421" t="s">
        <v>3</v>
      </c>
      <c r="J386" s="422"/>
      <c r="K386" s="421" t="s">
        <v>4</v>
      </c>
      <c r="L386" s="422"/>
      <c r="M386" s="421" t="s">
        <v>93</v>
      </c>
      <c r="N386" s="422"/>
      <c r="O386" s="396"/>
      <c r="P386" s="396"/>
      <c r="Q386" s="396"/>
      <c r="R386" s="396"/>
      <c r="S386" s="396"/>
      <c r="T386" s="396"/>
      <c r="U386" s="396"/>
      <c r="V386" s="396"/>
      <c r="W386" s="3"/>
      <c r="X386" s="302" t="str">
        <f>A386</f>
        <v>Mx Bat</v>
      </c>
      <c r="Y386" s="361"/>
      <c r="Z386" s="362"/>
    </row>
    <row r="387" spans="1:30" ht="17.25" customHeight="1" thickBot="1" x14ac:dyDescent="0.3">
      <c r="A387" s="90"/>
      <c r="B387" s="91" t="s">
        <v>96</v>
      </c>
      <c r="C387" s="447">
        <f>C351</f>
        <v>1.8</v>
      </c>
      <c r="D387" s="448"/>
      <c r="E387" s="447">
        <f>E351</f>
        <v>1.2</v>
      </c>
      <c r="F387" s="448"/>
      <c r="G387" s="447">
        <f>G351</f>
        <v>1.57</v>
      </c>
      <c r="H387" s="448"/>
      <c r="I387" s="447">
        <f>I351</f>
        <v>1.2789999999999999</v>
      </c>
      <c r="J387" s="448"/>
      <c r="K387" s="447">
        <f>K351</f>
        <v>1.67</v>
      </c>
      <c r="L387" s="448"/>
      <c r="M387" s="447">
        <f>M351</f>
        <v>0</v>
      </c>
      <c r="N387" s="448"/>
      <c r="O387" s="394"/>
      <c r="P387" s="394"/>
      <c r="Q387" s="394"/>
      <c r="R387" s="394"/>
      <c r="S387" s="394"/>
      <c r="T387" s="394"/>
      <c r="U387" s="394"/>
      <c r="V387" s="394"/>
      <c r="W387" s="3"/>
    </row>
    <row r="388" spans="1:30" ht="34.5" thickBot="1" x14ac:dyDescent="0.3">
      <c r="A388" s="92"/>
      <c r="B388" s="92"/>
      <c r="C388" s="93" t="s">
        <v>16</v>
      </c>
      <c r="D388" s="430" t="s">
        <v>6</v>
      </c>
      <c r="E388" s="431"/>
      <c r="F388" s="430" t="s">
        <v>7</v>
      </c>
      <c r="G388" s="431"/>
      <c r="H388" s="430" t="s">
        <v>8</v>
      </c>
      <c r="I388" s="431"/>
      <c r="J388" s="430" t="s">
        <v>9</v>
      </c>
      <c r="K388" s="431"/>
      <c r="L388" s="449" t="s">
        <v>30</v>
      </c>
      <c r="M388" s="393"/>
      <c r="N388" s="449" t="s">
        <v>31</v>
      </c>
      <c r="O388" s="393"/>
      <c r="P388" s="304"/>
      <c r="Q388" s="78"/>
      <c r="R388" s="78"/>
      <c r="W388" s="3"/>
      <c r="Y388" s="305" t="s">
        <v>36</v>
      </c>
      <c r="Z388" s="230" t="s">
        <v>71</v>
      </c>
      <c r="AA388" s="306" t="s">
        <v>80</v>
      </c>
      <c r="AB388" s="307"/>
      <c r="AC388" s="307"/>
      <c r="AD388" s="308"/>
    </row>
    <row r="389" spans="1:30" ht="15.75" thickBot="1" x14ac:dyDescent="0.3">
      <c r="A389" s="441"/>
      <c r="B389" s="442"/>
      <c r="C389" s="93" t="s">
        <v>33</v>
      </c>
      <c r="D389" s="423">
        <f>IF(C387&lt;E387,E387-C387,C387-E387)</f>
        <v>0.60000000000000009</v>
      </c>
      <c r="E389" s="424"/>
      <c r="F389" s="423">
        <f>IF(G387&lt;E387,E387-G387,G387-E387)</f>
        <v>0.37000000000000011</v>
      </c>
      <c r="G389" s="424"/>
      <c r="H389" s="423">
        <f>IF(I387&lt;G387,G387-I387,I387-G387)</f>
        <v>0.29100000000000015</v>
      </c>
      <c r="I389" s="424"/>
      <c r="J389" s="423">
        <f>IF(K387&lt;I387,I387-K387,K387-I387)</f>
        <v>0.39100000000000001</v>
      </c>
      <c r="K389" s="424"/>
      <c r="L389" s="423">
        <f>IF(C387&lt;E387,E387-C387,C387-E387)</f>
        <v>0.60000000000000009</v>
      </c>
      <c r="M389" s="424"/>
      <c r="N389" s="423">
        <f>IF(E387&lt;G387,G387-E387,E387-G387)</f>
        <v>0.37000000000000011</v>
      </c>
      <c r="O389" s="424"/>
      <c r="P389" s="78"/>
      <c r="Q389" s="76"/>
      <c r="R389" s="76"/>
      <c r="W389" s="3"/>
      <c r="X389" s="2">
        <v>1</v>
      </c>
      <c r="Y389" s="311" t="s">
        <v>70</v>
      </c>
      <c r="Z389" s="312" t="str">
        <f>IF(R409&gt;Z411,CONCATENATE("[Weak Structure: More than ",Z411," % Price deviation]"),"")</f>
        <v>[Weak Structure: More than 8 % Price deviation]</v>
      </c>
      <c r="AA389" s="381" t="s">
        <v>72</v>
      </c>
      <c r="AB389" s="382"/>
      <c r="AC389" s="382"/>
      <c r="AD389" s="383"/>
    </row>
    <row r="390" spans="1:30" ht="15.75" thickBot="1" x14ac:dyDescent="0.3">
      <c r="A390" s="443"/>
      <c r="B390" s="444"/>
      <c r="C390" s="93" t="s">
        <v>18</v>
      </c>
      <c r="D390" s="437" t="s">
        <v>17</v>
      </c>
      <c r="E390" s="438"/>
      <c r="F390" s="437">
        <f>IF(C397&gt;0,(D389*C397),"No Data")</f>
        <v>0.22920000000000004</v>
      </c>
      <c r="G390" s="438"/>
      <c r="H390" s="437">
        <f>IF(C398&gt;0,(F389*C398),"No Data")</f>
        <v>0.14134000000000005</v>
      </c>
      <c r="I390" s="438"/>
      <c r="J390" s="437">
        <f>IF(C399&gt;0,(H389*C399),"No Data")</f>
        <v>0.3701520000000002</v>
      </c>
      <c r="K390" s="438"/>
      <c r="L390" s="437">
        <f>IF(C400&gt;0,(L389*C400),"No Data")</f>
        <v>0.53160000000000007</v>
      </c>
      <c r="M390" s="438"/>
      <c r="N390" s="437">
        <f>IF(C401&gt;0,(N389*C401),"No Data")</f>
        <v>0.37000000000000011</v>
      </c>
      <c r="O390" s="438"/>
      <c r="P390" s="314"/>
      <c r="Q390" s="76"/>
      <c r="R390" s="76"/>
      <c r="W390" s="3"/>
      <c r="X390" s="2">
        <v>2</v>
      </c>
      <c r="Y390" s="311" t="s">
        <v>70</v>
      </c>
      <c r="Z390" s="312" t="str">
        <f>IF(R410&gt;AB411,CONCATENATE("[Weak Structure: More than ",AB411," % Time deviation]"),"")</f>
        <v/>
      </c>
      <c r="AA390" s="381" t="s">
        <v>73</v>
      </c>
      <c r="AB390" s="382"/>
      <c r="AC390" s="382"/>
      <c r="AD390" s="383"/>
    </row>
    <row r="391" spans="1:30" ht="15.75" thickBot="1" x14ac:dyDescent="0.3">
      <c r="A391" s="443"/>
      <c r="B391" s="444"/>
      <c r="C391" s="93" t="s">
        <v>19</v>
      </c>
      <c r="D391" s="437" t="s">
        <v>17</v>
      </c>
      <c r="E391" s="438"/>
      <c r="F391" s="437">
        <f>IF(D397&gt;0,(D389*D397),"No Data")</f>
        <v>0.37080000000000007</v>
      </c>
      <c r="G391" s="438"/>
      <c r="H391" s="437">
        <f>IF(D398&gt;0,(F389*D398),"No Data")</f>
        <v>0.32782000000000011</v>
      </c>
      <c r="I391" s="438"/>
      <c r="J391" s="437">
        <f>IF(D399&gt;0,(H389*D399),"No Data")</f>
        <v>0.76183800000000035</v>
      </c>
      <c r="K391" s="438"/>
      <c r="L391" s="437" t="str">
        <f>IF(D400&gt;0,(L389*D400),"No Data")</f>
        <v>No Data</v>
      </c>
      <c r="M391" s="438"/>
      <c r="N391" s="437" t="str">
        <f>IF(D401&gt;0,(N389*D401),"No Data")</f>
        <v>No Data</v>
      </c>
      <c r="O391" s="438"/>
      <c r="P391" s="314"/>
      <c r="Q391" s="76"/>
      <c r="R391" s="76"/>
      <c r="W391" s="3"/>
      <c r="X391" s="2">
        <v>3</v>
      </c>
      <c r="Y391" s="311"/>
      <c r="Z391" s="315"/>
      <c r="AA391" s="381"/>
      <c r="AB391" s="382"/>
      <c r="AC391" s="382"/>
      <c r="AD391" s="383"/>
    </row>
    <row r="392" spans="1:30" ht="15.75" thickBot="1" x14ac:dyDescent="0.3">
      <c r="A392" s="443"/>
      <c r="B392" s="444"/>
      <c r="C392" s="93" t="s">
        <v>20</v>
      </c>
      <c r="D392" s="437" t="s">
        <v>17</v>
      </c>
      <c r="E392" s="438"/>
      <c r="F392" s="437" t="str">
        <f>IF(E397&gt;0,(D389*E397),"No Data")</f>
        <v>No Data</v>
      </c>
      <c r="G392" s="438"/>
      <c r="H392" s="437" t="str">
        <f>IF(E398&gt;0,(F389*E398),"No Data")</f>
        <v>No Data</v>
      </c>
      <c r="I392" s="438"/>
      <c r="J392" s="437" t="str">
        <f>IF(E399&gt;0,(H389*E399),"No Data")</f>
        <v>No Data</v>
      </c>
      <c r="K392" s="438"/>
      <c r="L392" s="437" t="str">
        <f>IF(E400&gt;0,(L389*E400),"No Data")</f>
        <v>No Data</v>
      </c>
      <c r="M392" s="438"/>
      <c r="N392" s="437" t="str">
        <f>IF(E401&gt;0,(N389*E401),"No Data")</f>
        <v>No Data</v>
      </c>
      <c r="O392" s="438"/>
      <c r="P392" s="314"/>
      <c r="Q392" s="76"/>
      <c r="R392" s="76"/>
      <c r="W392" s="3"/>
      <c r="X392" s="2">
        <v>4</v>
      </c>
      <c r="Y392" s="311"/>
      <c r="Z392" s="317"/>
      <c r="AA392" s="381"/>
      <c r="AB392" s="382"/>
      <c r="AC392" s="382"/>
      <c r="AD392" s="383"/>
    </row>
    <row r="393" spans="1:30" ht="15.75" thickBot="1" x14ac:dyDescent="0.3">
      <c r="A393" s="445"/>
      <c r="B393" s="446"/>
      <c r="C393" s="93" t="s">
        <v>21</v>
      </c>
      <c r="D393" s="437" t="s">
        <v>17</v>
      </c>
      <c r="E393" s="438"/>
      <c r="F393" s="437" t="str">
        <f>IF(F397&gt;0,(D389*F397),"No Data")</f>
        <v>No Data</v>
      </c>
      <c r="G393" s="438"/>
      <c r="H393" s="437" t="str">
        <f>IF(F398&gt;0,(F389*F398),"No Data")</f>
        <v>No Data</v>
      </c>
      <c r="I393" s="438"/>
      <c r="J393" s="437" t="str">
        <f>IF(F399&gt;0,(H389*F399),"No Data")</f>
        <v>No Data</v>
      </c>
      <c r="K393" s="438"/>
      <c r="L393" s="437" t="str">
        <f>IF(F400&gt;0,(L389*F400),"No Data")</f>
        <v>No Data</v>
      </c>
      <c r="M393" s="438"/>
      <c r="N393" s="437" t="str">
        <f>IF(F401&gt;0,(N389*F401),"No Data")</f>
        <v>No Data</v>
      </c>
      <c r="O393" s="438"/>
      <c r="P393" s="314"/>
      <c r="Q393" s="76"/>
      <c r="R393" s="76"/>
      <c r="W393" s="3"/>
      <c r="X393" s="2">
        <v>5</v>
      </c>
      <c r="Y393" s="311" t="s">
        <v>70</v>
      </c>
      <c r="Z393" s="312" t="str">
        <f>IF(C387&gt;E387,IF(AND(C387&gt;E387,E387&lt;G387,G387&gt;I387,I387&lt;K387),"","[No Structure found] "),IF(AND(C387&lt;E387,E387&gt;G387,G387&lt;I387,I387&gt;K387),"","[No Structure found] "))</f>
        <v/>
      </c>
      <c r="AA393" s="381" t="s">
        <v>81</v>
      </c>
      <c r="AB393" s="382"/>
      <c r="AC393" s="382"/>
      <c r="AD393" s="383"/>
    </row>
    <row r="394" spans="1:30" ht="19.5" thickBot="1" x14ac:dyDescent="0.3">
      <c r="A394" s="432" t="str">
        <f>CONCATENATE(IF(C387&gt;E387,"Bearish",""),(IF(C387&lt;E387,"Bullish","")))</f>
        <v>Bearish</v>
      </c>
      <c r="B394" s="433"/>
      <c r="N394" s="114"/>
      <c r="W394" s="3"/>
      <c r="X394" s="2">
        <v>6</v>
      </c>
      <c r="Y394" s="311" t="s">
        <v>70</v>
      </c>
      <c r="Z394" s="312" t="str">
        <f>CONCATENATE(IF(AND(C387&gt;E387,K387&gt;C387),"[Structure Violation: D passed X] ",""),IF(AND(C387&lt;E387,K387&lt;C387),"[Structure Violation: D passed X] ",""))</f>
        <v/>
      </c>
      <c r="AA394" s="381" t="s">
        <v>83</v>
      </c>
      <c r="AB394" s="382"/>
      <c r="AC394" s="382"/>
      <c r="AD394" s="383"/>
    </row>
    <row r="395" spans="1:30" ht="15.75" thickBot="1" x14ac:dyDescent="0.3">
      <c r="C395" s="418" t="s">
        <v>50</v>
      </c>
      <c r="D395" s="419"/>
      <c r="E395" s="419"/>
      <c r="F395" s="420"/>
      <c r="G395" s="427" t="s">
        <v>49</v>
      </c>
      <c r="H395" s="428"/>
      <c r="I395" s="428"/>
      <c r="J395" s="429"/>
      <c r="K395" s="427" t="s">
        <v>52</v>
      </c>
      <c r="L395" s="428"/>
      <c r="M395" s="428"/>
      <c r="N395" s="428"/>
      <c r="O395" s="427" t="s">
        <v>67</v>
      </c>
      <c r="P395" s="428"/>
      <c r="Q395" s="428"/>
      <c r="R395" s="429"/>
      <c r="S395" s="384" t="s">
        <v>65</v>
      </c>
      <c r="T395" s="385"/>
      <c r="W395" s="3"/>
      <c r="X395" s="2">
        <v>7</v>
      </c>
      <c r="Y395" s="311" t="s">
        <v>70</v>
      </c>
      <c r="Z395" s="318" t="str">
        <f>CONCATENATE(IF(AND(C387&gt;E387,I387&lt;E387),"[Structure Violation: C passed A] ",""),IF(AND(C387&lt;E387,I387&gt;E387),"[Structure Violation: C passed A] ",""))</f>
        <v/>
      </c>
      <c r="AA395" s="381" t="s">
        <v>84</v>
      </c>
      <c r="AB395" s="382"/>
      <c r="AC395" s="382"/>
      <c r="AD395" s="383"/>
    </row>
    <row r="396" spans="1:30" ht="15.75" thickBot="1" x14ac:dyDescent="0.3">
      <c r="A396" s="115" t="s">
        <v>10</v>
      </c>
      <c r="B396" s="116" t="s">
        <v>51</v>
      </c>
      <c r="C396" s="319">
        <v>1</v>
      </c>
      <c r="D396" s="319">
        <v>2</v>
      </c>
      <c r="E396" s="319">
        <v>3</v>
      </c>
      <c r="F396" s="319">
        <v>4</v>
      </c>
      <c r="G396" s="118">
        <v>1</v>
      </c>
      <c r="H396" s="118">
        <v>2</v>
      </c>
      <c r="I396" s="118">
        <v>3</v>
      </c>
      <c r="J396" s="118">
        <v>4</v>
      </c>
      <c r="K396" s="119">
        <v>1</v>
      </c>
      <c r="L396" s="119">
        <v>2</v>
      </c>
      <c r="M396" s="119">
        <v>3</v>
      </c>
      <c r="N396" s="120">
        <v>4</v>
      </c>
      <c r="O396" s="118">
        <v>1</v>
      </c>
      <c r="P396" s="119">
        <v>2</v>
      </c>
      <c r="Q396" s="118">
        <v>3</v>
      </c>
      <c r="R396" s="119">
        <v>4</v>
      </c>
      <c r="S396" s="121" t="s">
        <v>63</v>
      </c>
      <c r="T396" s="122" t="s">
        <v>64</v>
      </c>
      <c r="W396" s="3"/>
      <c r="X396" s="2">
        <v>8</v>
      </c>
      <c r="Y396" s="311" t="s">
        <v>70</v>
      </c>
      <c r="Z396" s="312" t="str">
        <f>CONCATENATE(IF(AND(C387&gt;E387,G387&gt;C387),"[Structure Violaton: B passed X] ",""),IF(AND(C387&lt;E387,G387&lt;C387),"[Structure Violation: B passed X] ",""))</f>
        <v/>
      </c>
      <c r="AA396" s="381" t="s">
        <v>85</v>
      </c>
      <c r="AB396" s="382"/>
      <c r="AC396" s="382"/>
      <c r="AD396" s="383"/>
    </row>
    <row r="397" spans="1:30" ht="15.75" thickBot="1" x14ac:dyDescent="0.3">
      <c r="A397" s="125" t="s">
        <v>11</v>
      </c>
      <c r="B397" s="320" t="s">
        <v>6</v>
      </c>
      <c r="C397" s="321">
        <v>0.38200000000000001</v>
      </c>
      <c r="D397" s="322">
        <v>0.61799999999999999</v>
      </c>
      <c r="E397" s="322"/>
      <c r="F397" s="323"/>
      <c r="G397" s="130">
        <f>IF(C387&gt;E387,IF(C397&gt;0,E387+(D389*C397),0),IF(C397&gt;0,E387-(D389*C397),0))</f>
        <v>1.4292</v>
      </c>
      <c r="H397" s="131">
        <f>IF(C387&gt;E387,IF(D397&gt;0,E387+(D389*D397),0),IF(D397&gt;0,E387-(D389*D397),0))</f>
        <v>1.5708</v>
      </c>
      <c r="I397" s="131">
        <f>IF(C387&gt;E387,IF(E397&gt;0,E387+(D389*E397),0),IF(E397&gt;0,E387-(D389*E397),0))</f>
        <v>0</v>
      </c>
      <c r="J397" s="131">
        <f>IF(C387&gt;E387,IF(F397&gt;0,E387+(D389*F397),0),IF(F397&gt;0,E387-(D389*F397),0))</f>
        <v>0</v>
      </c>
      <c r="K397" s="133">
        <f>IF(C397&gt;0,IF(G397&lt;G387,G387-G397,G397-G387),0)</f>
        <v>0.14080000000000004</v>
      </c>
      <c r="L397" s="134">
        <f>IF(D397&gt;0,IF(H397&lt;G387,G387-H397,H397-G387),0)</f>
        <v>7.9999999999991189E-4</v>
      </c>
      <c r="M397" s="134">
        <f>IF(E397&gt;0,IF(I397&lt;G387,G387-I397,I397-G387),0)</f>
        <v>0</v>
      </c>
      <c r="N397" s="135">
        <f>IF(F397&gt;0,IF(J397&lt;G387,G387-J397,J397-G387),0)</f>
        <v>0</v>
      </c>
      <c r="O397" s="130">
        <f t="shared" ref="O397:O399" si="180">IF(C397=0,"No Data",G397)</f>
        <v>1.4292</v>
      </c>
      <c r="P397" s="131">
        <f t="shared" ref="P397:P399" si="181">IF(D397=0,"No Data",H397)</f>
        <v>1.5708</v>
      </c>
      <c r="Q397" s="131" t="str">
        <f t="shared" ref="Q397:Q405" si="182">IF(E397=0,"No Data",I397)</f>
        <v>No Data</v>
      </c>
      <c r="R397" s="132" t="str">
        <f t="shared" ref="R397:R399" si="183">IF(F397=0,"No Data",J397)</f>
        <v>No Data</v>
      </c>
      <c r="S397" s="136">
        <f t="shared" ref="S397:S401" si="184">MAX(O397:R397)</f>
        <v>1.5708</v>
      </c>
      <c r="T397" s="137">
        <f t="shared" ref="T397:T398" si="185">MIN(O397:R397)</f>
        <v>1.4292</v>
      </c>
      <c r="W397" s="3"/>
      <c r="X397" s="2">
        <v>9</v>
      </c>
      <c r="Y397" s="311" t="s">
        <v>57</v>
      </c>
      <c r="Z397" s="312" t="str">
        <f>CONCATENATE(IF(AND(C387&gt;E387,I387&gt;E387),"[Structure Violation: C above A] ",""),IF(AND(C387&lt;E387,I387&lt;E387),"[Structure Violation: C below A] ",""))</f>
        <v xml:space="preserve">[Structure Violation: C above A] </v>
      </c>
      <c r="AA397" s="381" t="s">
        <v>86</v>
      </c>
      <c r="AB397" s="382"/>
      <c r="AC397" s="382"/>
      <c r="AD397" s="383"/>
    </row>
    <row r="398" spans="1:30" ht="15.75" thickBot="1" x14ac:dyDescent="0.3">
      <c r="A398" s="125" t="s">
        <v>12</v>
      </c>
      <c r="B398" s="324" t="s">
        <v>7</v>
      </c>
      <c r="C398" s="325">
        <v>0.38200000000000001</v>
      </c>
      <c r="D398" s="326">
        <v>0.88600000000000001</v>
      </c>
      <c r="E398" s="326"/>
      <c r="F398" s="327"/>
      <c r="G398" s="143">
        <f>IF(C387&gt;E387,IF(C398&gt;0,G387-(F389*C398),0),IF(C398&gt;0,G387+(F389*C398),0))</f>
        <v>1.42866</v>
      </c>
      <c r="H398" s="144">
        <f>IF(C387&gt;E387,IF(D398&gt;0,G387-(F389*D398),0),IF(D398&gt;0,G387+(F389*D398),0))</f>
        <v>1.2421799999999998</v>
      </c>
      <c r="I398" s="144">
        <f>IF(C387&gt;E387,IF(E398&gt;0,G387-(F389*E398),0),IF(E398&gt;0,G387+(F389*E398),0))</f>
        <v>0</v>
      </c>
      <c r="J398" s="328">
        <f>IF(C387&gt;E387,IF(F398&gt;0,G387-(F389*F398),0),IF(F398&gt;0,G387+(F389*F398),0))</f>
        <v>0</v>
      </c>
      <c r="K398" s="146">
        <f>IF(C398&gt;0,IF(G398&lt;I387,I387-G398,G398-I387),0)</f>
        <v>0.14966000000000013</v>
      </c>
      <c r="L398" s="147">
        <f>IF(D398&gt;0,IF(H398&lt;I387,I387-H398,H398-I387),0)</f>
        <v>3.6820000000000075E-2</v>
      </c>
      <c r="M398" s="147">
        <f>IF(E398&gt;0,IF(I398&lt;I387,I387-I398,I398-I387),0)</f>
        <v>0</v>
      </c>
      <c r="N398" s="148">
        <f>IF(F398&gt;0,IF(J398&lt;I387,I387-J398,J398-I387),0)</f>
        <v>0</v>
      </c>
      <c r="O398" s="143">
        <f t="shared" si="180"/>
        <v>1.42866</v>
      </c>
      <c r="P398" s="144">
        <f t="shared" si="181"/>
        <v>1.2421799999999998</v>
      </c>
      <c r="Q398" s="144" t="str">
        <f t="shared" si="182"/>
        <v>No Data</v>
      </c>
      <c r="R398" s="145" t="str">
        <f t="shared" si="183"/>
        <v>No Data</v>
      </c>
      <c r="S398" s="149">
        <f t="shared" si="184"/>
        <v>1.42866</v>
      </c>
      <c r="T398" s="150">
        <f t="shared" si="185"/>
        <v>1.2421799999999998</v>
      </c>
      <c r="W398" s="3"/>
      <c r="X398" s="2">
        <v>10</v>
      </c>
      <c r="Y398" s="311" t="s">
        <v>70</v>
      </c>
      <c r="Z398" s="318" t="str">
        <f>CONCATENATE(IF(AND(C387&gt;E387,G387&gt;K387),"[Structure Violation: B above D] ",""),IF(AND(C387&lt;E387,G387&lt;K387),"[Structure Violation: B below D] ",""))</f>
        <v/>
      </c>
      <c r="AA398" s="381" t="s">
        <v>87</v>
      </c>
      <c r="AB398" s="382"/>
      <c r="AC398" s="382"/>
      <c r="AD398" s="383"/>
    </row>
    <row r="399" spans="1:30" ht="15.75" thickBot="1" x14ac:dyDescent="0.3">
      <c r="A399" s="125" t="s">
        <v>13</v>
      </c>
      <c r="B399" s="324" t="s">
        <v>8</v>
      </c>
      <c r="C399" s="325">
        <v>1.272</v>
      </c>
      <c r="D399" s="326">
        <v>2.6179999999999999</v>
      </c>
      <c r="E399" s="326"/>
      <c r="F399" s="327"/>
      <c r="G399" s="143">
        <f>IF(C387&gt;E387,IF(C399&gt;0,I387+(H389*C399),0),IF(C399&gt;0,I387-(H389*C399),0))</f>
        <v>1.6491520000000002</v>
      </c>
      <c r="H399" s="144">
        <f>IF(C387&gt;E387,IF(D399&gt;0,I387+(H389*D399),0),IF(D399&gt;0,I387-(H389*D399),0))</f>
        <v>2.0408380000000004</v>
      </c>
      <c r="I399" s="144">
        <f>IF(C387&gt;E387,IF(E399&gt;0,I387+(H389*E399),0),IF(E399&gt;0,I387-(H389*E399),0))</f>
        <v>0</v>
      </c>
      <c r="J399" s="328">
        <f>IF(C387&gt;E387,IF(F399&gt;0,I387+(H389*F399),0),IF(F399&gt;0,I387-(H389*F399),0))</f>
        <v>0</v>
      </c>
      <c r="K399" s="146">
        <f>IF(C399&gt;0,IF(G399&lt;K387,K387-G399,G399-K387),0)</f>
        <v>2.0847999999999756E-2</v>
      </c>
      <c r="L399" s="147">
        <f>IF(D399&gt;0,IF(H399&lt;K387,K387-H399,H399-K387),0)</f>
        <v>0.37083800000000045</v>
      </c>
      <c r="M399" s="147">
        <f>IF(E399&gt;0,IF(I399&lt;K387,K387-I399,I399-K387),0)</f>
        <v>0</v>
      </c>
      <c r="N399" s="148">
        <f>IF(F399&gt;0,IF(J399&lt;K387,K387-J399,J399-K387),0)</f>
        <v>0</v>
      </c>
      <c r="O399" s="143">
        <f t="shared" si="180"/>
        <v>1.6491520000000002</v>
      </c>
      <c r="P399" s="144">
        <f t="shared" si="181"/>
        <v>2.0408380000000004</v>
      </c>
      <c r="Q399" s="144" t="str">
        <f t="shared" si="182"/>
        <v>No Data</v>
      </c>
      <c r="R399" s="145" t="str">
        <f t="shared" si="183"/>
        <v>No Data</v>
      </c>
      <c r="S399" s="151">
        <f t="shared" si="184"/>
        <v>2.0408380000000004</v>
      </c>
      <c r="T399" s="150">
        <f>MIN(O399:R399)</f>
        <v>1.6491520000000002</v>
      </c>
      <c r="W399" s="3"/>
      <c r="X399" s="2">
        <v>11</v>
      </c>
      <c r="Y399" s="311" t="s">
        <v>57</v>
      </c>
      <c r="Z399" s="312" t="str">
        <f>CONCATENATE(IF(AND(C387&gt;E387,K387&lt;C387),"[Structure Violation: D below X] ",""),IF(AND(C387&lt;E387,K387&gt;C387),"[Structure Violation: D above X] ",""))</f>
        <v xml:space="preserve">[Structure Violation: D below X] </v>
      </c>
      <c r="AA399" s="381" t="s">
        <v>88</v>
      </c>
      <c r="AB399" s="382"/>
      <c r="AC399" s="382"/>
      <c r="AD399" s="383"/>
    </row>
    <row r="400" spans="1:30" ht="15.75" thickBot="1" x14ac:dyDescent="0.3">
      <c r="A400" s="125" t="s">
        <v>14</v>
      </c>
      <c r="B400" s="324" t="s">
        <v>6</v>
      </c>
      <c r="C400" s="325">
        <v>0.88600000000000001</v>
      </c>
      <c r="D400" s="326"/>
      <c r="E400" s="326"/>
      <c r="F400" s="327"/>
      <c r="G400" s="152">
        <f>IF(C387&gt;E387,IF(C400&gt;0,E387+(D389*C400),0),IF(C400&gt;0,E387-(D389*C400),0))</f>
        <v>1.7316</v>
      </c>
      <c r="H400" s="144">
        <f>IF(C387&gt;E387,IF(D400&gt;0,E387+(D389*D400),0),IF(D400&gt;0,E387-(D389*D400),0))</f>
        <v>0</v>
      </c>
      <c r="I400" s="144">
        <f>IF(C387&gt;E387,IF(E400&gt;0,E387+(D389*E400),0),IF(E400&gt;0,E387-(D389*E400),0))</f>
        <v>0</v>
      </c>
      <c r="J400" s="329">
        <f>IF(C387&gt;E387,IF(F400&gt;0,E387+(D389*F400),0),IF(F400&gt;0,E387-(D389*F400),0))</f>
        <v>0</v>
      </c>
      <c r="K400" s="146">
        <f>IF(C400&gt;0,IF(G400&lt;K387,K387-G400,G400-K387),0)</f>
        <v>6.1600000000000099E-2</v>
      </c>
      <c r="L400" s="147">
        <f>IF(D400&gt;0,IF(H400&lt;K387,K387-H400,H400-K387),0)</f>
        <v>0</v>
      </c>
      <c r="M400" s="147">
        <f>IF(E400&gt;0,IF(I400&lt;K387,K387-I400,I400-K387),0)</f>
        <v>0</v>
      </c>
      <c r="N400" s="148">
        <f>IF(F400&gt;0,IF(J400&lt;K387,K387-J400,J400-K387),0)</f>
        <v>0</v>
      </c>
      <c r="O400" s="152">
        <f>IF(C400=0,"No Data",G400)</f>
        <v>1.7316</v>
      </c>
      <c r="P400" s="144" t="str">
        <f>IF(D400=0,"No Data",H400)</f>
        <v>No Data</v>
      </c>
      <c r="Q400" s="144" t="str">
        <f t="shared" si="182"/>
        <v>No Data</v>
      </c>
      <c r="R400" s="153" t="str">
        <f>IF(F400=0,"No Data",J400)</f>
        <v>No Data</v>
      </c>
      <c r="S400" s="149">
        <f t="shared" si="184"/>
        <v>1.7316</v>
      </c>
      <c r="T400" s="150">
        <f t="shared" ref="T400:T401" si="186">MIN(O400:R400)</f>
        <v>1.7316</v>
      </c>
      <c r="W400" s="3"/>
      <c r="X400" s="2">
        <v>12</v>
      </c>
      <c r="Y400" s="311" t="s">
        <v>57</v>
      </c>
      <c r="Z400" s="312" t="str">
        <f>CONCATENATE(IF(AND(C387&gt;E387,K387&gt;G387),"[Structure Violation: D passed B] ",""),IF(AND(C387&lt;E387,K387&lt;G387),"[Structure Violation: D passed B] ",""))</f>
        <v xml:space="preserve">[Structure Violation: D passed B] </v>
      </c>
      <c r="AA400" s="381" t="s">
        <v>89</v>
      </c>
      <c r="AB400" s="382"/>
      <c r="AC400" s="382"/>
      <c r="AD400" s="383"/>
    </row>
    <row r="401" spans="1:30" ht="15.75" thickBot="1" x14ac:dyDescent="0.3">
      <c r="A401" s="125" t="s">
        <v>29</v>
      </c>
      <c r="B401" s="331" t="s">
        <v>7</v>
      </c>
      <c r="C401" s="332">
        <v>1</v>
      </c>
      <c r="D401" s="333"/>
      <c r="E401" s="333"/>
      <c r="F401" s="334"/>
      <c r="G401" s="159">
        <f>IF(C387&gt;E387,IF(C401&gt;0,I387+(F389*C401),0),IF(C401&gt;0,I387-(F389*C401),0))</f>
        <v>1.649</v>
      </c>
      <c r="H401" s="160">
        <f>IF(C387&gt;E387,IF(D401&gt;0,I387+(F389*D401),0),IF(D401&gt;0,I387-(F389*D401),0))</f>
        <v>0</v>
      </c>
      <c r="I401" s="160">
        <f>IF(C387&gt;E387,IF(E401&gt;0,I387+(F389*E401),0),IF(E401&gt;0,I387-(F389*E401),0))</f>
        <v>0</v>
      </c>
      <c r="J401" s="160">
        <f>IF(C387&gt;E387,IF(F401&gt;0,I387+(F389*F401),0),IF(F401&gt;0,I387-(F389*F401),0))</f>
        <v>0</v>
      </c>
      <c r="K401" s="162">
        <f>IF(C401&gt;0,IF(G401&lt;K387,K387-G401,G401-K387),0)</f>
        <v>2.0999999999999908E-2</v>
      </c>
      <c r="L401" s="163">
        <f>IF(D401&gt;0,IF(H401&lt;K387,K387-H401,H401-K387),0)</f>
        <v>0</v>
      </c>
      <c r="M401" s="163">
        <f>IF(E401&gt;0,IF(I401&lt;K387,K387-I401,I401-K387),0)</f>
        <v>0</v>
      </c>
      <c r="N401" s="164">
        <f>IF(F401&gt;0,IF(J401&lt;K387,K387-J401,J401-K387),0)</f>
        <v>0</v>
      </c>
      <c r="O401" s="159">
        <f t="shared" ref="O401" si="187">IF(C401=0,"No Data",G401)</f>
        <v>1.649</v>
      </c>
      <c r="P401" s="160" t="str">
        <f t="shared" ref="P401" si="188">IF(D401=0,"No Data",H401)</f>
        <v>No Data</v>
      </c>
      <c r="Q401" s="160" t="str">
        <f t="shared" si="182"/>
        <v>No Data</v>
      </c>
      <c r="R401" s="161" t="str">
        <f t="shared" ref="R401:R405" si="189">IF(F401=0,"No Data",J401)</f>
        <v>No Data</v>
      </c>
      <c r="S401" s="165">
        <f t="shared" si="184"/>
        <v>1.649</v>
      </c>
      <c r="T401" s="166">
        <f t="shared" si="186"/>
        <v>1.649</v>
      </c>
      <c r="W401" s="3"/>
      <c r="X401" s="2">
        <v>13</v>
      </c>
      <c r="Y401" s="311" t="s">
        <v>57</v>
      </c>
      <c r="Z401" s="312" t="str">
        <f>CONCATENATE(IF(AND(C387&gt;E387,G387&lt;C387),"[Structure Violation: B below X] ",""),IF(AND(C387&lt;E387,G387&gt;C387),"[Structure Violation: B above X] ",""))</f>
        <v xml:space="preserve">[Structure Violation: B below X] </v>
      </c>
      <c r="AA401" s="381" t="s">
        <v>90</v>
      </c>
      <c r="AB401" s="382"/>
      <c r="AC401" s="382"/>
      <c r="AD401" s="383"/>
    </row>
    <row r="402" spans="1:30" ht="16.5" thickTop="1" thickBot="1" x14ac:dyDescent="0.3">
      <c r="A402" s="12" t="s">
        <v>47</v>
      </c>
      <c r="B402" s="335" t="s">
        <v>6</v>
      </c>
      <c r="C402" s="336">
        <v>2</v>
      </c>
      <c r="D402" s="337">
        <v>2.6179999999999999</v>
      </c>
      <c r="E402" s="337">
        <v>2.786</v>
      </c>
      <c r="F402" s="338"/>
      <c r="G402" s="339">
        <f>E385*C402</f>
        <v>18</v>
      </c>
      <c r="H402" s="174">
        <f>E385*D402</f>
        <v>23.561999999999998</v>
      </c>
      <c r="I402" s="175">
        <f>E385*E402</f>
        <v>25.074000000000002</v>
      </c>
      <c r="J402" s="176">
        <f>E385*F402</f>
        <v>0</v>
      </c>
      <c r="K402" s="177">
        <f>IF(C402=0,0,IF(K385&gt;G402,K385-G402,G402-K385))</f>
        <v>12</v>
      </c>
      <c r="L402" s="178">
        <f>IF(D402=0,0,IF(K385&gt;H402,K385-H402,H402-K385))</f>
        <v>6.4380000000000024</v>
      </c>
      <c r="M402" s="178">
        <f>IF(E402=0,0,IF(K385&gt;I402,K385-I402,I402-K385))</f>
        <v>4.9259999999999984</v>
      </c>
      <c r="N402" s="179">
        <f>IF(F402=0,0,IF(K385&gt;J402,K385-J402,J402-K385))</f>
        <v>0</v>
      </c>
      <c r="O402" s="339">
        <f>IF(C402=0,"No Data",G402)</f>
        <v>18</v>
      </c>
      <c r="P402" s="174">
        <f>IF(D402=0,"No Data",H402)</f>
        <v>23.561999999999998</v>
      </c>
      <c r="Q402" s="175">
        <f t="shared" si="182"/>
        <v>25.074000000000002</v>
      </c>
      <c r="R402" s="176" t="str">
        <f t="shared" si="189"/>
        <v>No Data</v>
      </c>
      <c r="S402" s="180"/>
      <c r="T402" s="181"/>
      <c r="W402" s="3"/>
      <c r="X402" s="2">
        <v>14</v>
      </c>
      <c r="Y402" s="311" t="s">
        <v>57</v>
      </c>
      <c r="Z402" s="312" t="str">
        <f>CONCATENATE(IF(AND(E387&gt;G387,M387&gt;I387),"[Structure Violation: E passed C] ",""),IF(AND(E387&lt;G387,M387&lt;I387),"[Structure Violation: E passed C] ",""))</f>
        <v xml:space="preserve">[Structure Violation: E passed C] </v>
      </c>
      <c r="AA402" s="381" t="s">
        <v>94</v>
      </c>
      <c r="AB402" s="382"/>
      <c r="AC402" s="382"/>
      <c r="AD402" s="383"/>
    </row>
    <row r="403" spans="1:30" ht="15.75" thickBot="1" x14ac:dyDescent="0.3">
      <c r="A403" s="12" t="s">
        <v>47</v>
      </c>
      <c r="B403" s="340" t="s">
        <v>74</v>
      </c>
      <c r="C403" s="341">
        <v>2</v>
      </c>
      <c r="D403" s="342"/>
      <c r="E403" s="342"/>
      <c r="F403" s="351"/>
      <c r="G403" s="191">
        <f>G385*C403</f>
        <v>32</v>
      </c>
      <c r="H403" s="186">
        <f>G385*D403</f>
        <v>0</v>
      </c>
      <c r="I403" s="186">
        <f>G385*E403</f>
        <v>0</v>
      </c>
      <c r="J403" s="344">
        <f>G385*F403</f>
        <v>0</v>
      </c>
      <c r="K403" s="345">
        <f>IF(C403=0,0,IF(K385&gt;G403,K385-G403,G403-K385))</f>
        <v>2</v>
      </c>
      <c r="L403" s="189">
        <f>IF(D403=0,0,IF(K385&gt;H403,K385-H403,H403-K385))</f>
        <v>0</v>
      </c>
      <c r="M403" s="189">
        <f>IF(E403=0,0,IF(K385&gt;I403,K385-I403,I403-K385))</f>
        <v>0</v>
      </c>
      <c r="N403" s="178">
        <f>IF(F403=0,0,IF(K385&gt;J403,K385-J403,J403-K385))</f>
        <v>0</v>
      </c>
      <c r="O403" s="191">
        <f>IF(C403=0,"No Data",G403)</f>
        <v>32</v>
      </c>
      <c r="P403" s="186" t="str">
        <f t="shared" ref="P403:P405" si="190">IF(D403=0,"No Data",H403)</f>
        <v>No Data</v>
      </c>
      <c r="Q403" s="186" t="str">
        <f t="shared" si="182"/>
        <v>No Data</v>
      </c>
      <c r="R403" s="344" t="str">
        <f t="shared" si="189"/>
        <v>No Data</v>
      </c>
      <c r="S403" s="195"/>
      <c r="T403" s="196"/>
      <c r="W403" s="3"/>
      <c r="X403" s="2">
        <v>15</v>
      </c>
      <c r="Y403" s="311" t="s">
        <v>57</v>
      </c>
      <c r="Z403" s="317"/>
      <c r="AA403" s="346"/>
      <c r="AB403" s="347"/>
      <c r="AC403" s="347"/>
      <c r="AD403" s="348"/>
    </row>
    <row r="404" spans="1:30" ht="15.75" thickBot="1" x14ac:dyDescent="0.3">
      <c r="A404" s="12" t="s">
        <v>46</v>
      </c>
      <c r="B404" s="139" t="s">
        <v>6</v>
      </c>
      <c r="C404" s="349">
        <v>1</v>
      </c>
      <c r="D404" s="350">
        <v>1.6180000000000001</v>
      </c>
      <c r="E404" s="350">
        <v>1.786</v>
      </c>
      <c r="F404" s="343"/>
      <c r="G404" s="201">
        <f>E385*C404</f>
        <v>9</v>
      </c>
      <c r="H404" s="202">
        <f>E385*D404</f>
        <v>14.562000000000001</v>
      </c>
      <c r="I404" s="202">
        <f>E385*E404</f>
        <v>16.074000000000002</v>
      </c>
      <c r="J404" s="203">
        <f>E385*F404</f>
        <v>0</v>
      </c>
      <c r="K404" s="204">
        <f>IF(C404=0,0,IF(G385&gt;G404,G385-G404,G404-G385))</f>
        <v>7</v>
      </c>
      <c r="L404" s="205">
        <f>IF(D404=0,0,IF(G385&gt;H404,G385-H404,H404-G385))</f>
        <v>1.4379999999999988</v>
      </c>
      <c r="M404" s="205">
        <f>IF(E404=0,0,IF(G385&gt;I404,G385-I404,I404-G385))</f>
        <v>7.400000000000162E-2</v>
      </c>
      <c r="N404" s="206">
        <f>IF(F404=0,0,IF(G385&gt;J404,G385-J404,J404-G385))</f>
        <v>0</v>
      </c>
      <c r="O404" s="201">
        <f t="shared" ref="O404:O405" si="191">IF(C404=0,"No Data",G404)</f>
        <v>9</v>
      </c>
      <c r="P404" s="202">
        <f t="shared" si="190"/>
        <v>14.562000000000001</v>
      </c>
      <c r="Q404" s="202">
        <f t="shared" si="182"/>
        <v>16.074000000000002</v>
      </c>
      <c r="R404" s="203" t="str">
        <f t="shared" si="189"/>
        <v>No Data</v>
      </c>
      <c r="S404" s="207"/>
      <c r="T404" s="208"/>
      <c r="W404" s="3"/>
    </row>
    <row r="405" spans="1:30" ht="15.75" thickBot="1" x14ac:dyDescent="0.3">
      <c r="A405" s="12" t="s">
        <v>66</v>
      </c>
      <c r="B405" s="354" t="s">
        <v>6</v>
      </c>
      <c r="C405" s="355"/>
      <c r="D405" s="356"/>
      <c r="E405" s="356"/>
      <c r="F405" s="357"/>
      <c r="G405" s="213">
        <f>E385*C405</f>
        <v>0</v>
      </c>
      <c r="H405" s="214">
        <f>E385*D405</f>
        <v>0</v>
      </c>
      <c r="I405" s="214">
        <f>E385*E405</f>
        <v>0</v>
      </c>
      <c r="J405" s="215">
        <f>E385*F405</f>
        <v>0</v>
      </c>
      <c r="K405" s="216">
        <f>IF(C405=0,0,IF(I385&gt;G405,I385-G405,G405-I385))</f>
        <v>0</v>
      </c>
      <c r="L405" s="217">
        <f>IF(D405=0,0,IF(I385&gt;H405,I385-H405,H405-I385))</f>
        <v>0</v>
      </c>
      <c r="M405" s="217">
        <f>IF(E405=0,0,IF(I385&gt;I405,I385-I405,I405-I385))</f>
        <v>0</v>
      </c>
      <c r="N405" s="218">
        <f>IF(F405=0,0,IF(I385&gt;J405,I385-J405,J405-I385))</f>
        <v>0</v>
      </c>
      <c r="O405" s="213" t="str">
        <f t="shared" si="191"/>
        <v>No Data</v>
      </c>
      <c r="P405" s="214" t="str">
        <f t="shared" si="190"/>
        <v>No Data</v>
      </c>
      <c r="Q405" s="214" t="str">
        <f t="shared" si="182"/>
        <v>No Data</v>
      </c>
      <c r="R405" s="215" t="str">
        <f t="shared" si="189"/>
        <v>No Data</v>
      </c>
      <c r="S405" s="219"/>
      <c r="T405" s="220"/>
      <c r="W405" s="3"/>
    </row>
    <row r="406" spans="1:30" ht="15.75" thickBot="1" x14ac:dyDescent="0.3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226"/>
      <c r="W406" s="3"/>
    </row>
    <row r="407" spans="1:30" ht="15.75" thickBot="1" x14ac:dyDescent="0.3">
      <c r="A407" s="76"/>
      <c r="C407" s="365" t="s">
        <v>53</v>
      </c>
      <c r="D407" s="366"/>
      <c r="E407" s="366"/>
      <c r="F407" s="367"/>
      <c r="G407" s="365" t="s">
        <v>68</v>
      </c>
      <c r="H407" s="366"/>
      <c r="I407" s="367"/>
      <c r="K407" s="223"/>
      <c r="L407" s="224"/>
      <c r="M407" s="224"/>
      <c r="N407" s="224"/>
      <c r="O407" s="224"/>
      <c r="P407" s="225"/>
      <c r="Q407" s="226"/>
      <c r="R407" s="226"/>
      <c r="S407" s="227"/>
      <c r="T407" s="226"/>
      <c r="U407" s="76"/>
      <c r="W407" s="3"/>
    </row>
    <row r="408" spans="1:30" ht="15.75" thickBot="1" x14ac:dyDescent="0.3">
      <c r="A408" s="115" t="s">
        <v>10</v>
      </c>
      <c r="B408" s="116" t="s">
        <v>51</v>
      </c>
      <c r="C408" s="228">
        <v>1</v>
      </c>
      <c r="D408" s="228">
        <v>2</v>
      </c>
      <c r="E408" s="228">
        <v>3</v>
      </c>
      <c r="F408" s="228">
        <v>4</v>
      </c>
      <c r="G408" s="229" t="s">
        <v>69</v>
      </c>
      <c r="H408" s="230" t="s">
        <v>35</v>
      </c>
      <c r="I408" s="230" t="s">
        <v>55</v>
      </c>
      <c r="K408" s="452" t="s">
        <v>134</v>
      </c>
      <c r="L408" s="453"/>
      <c r="M408" s="452" t="s">
        <v>135</v>
      </c>
      <c r="N408" s="453"/>
      <c r="O408" s="452" t="s">
        <v>136</v>
      </c>
      <c r="P408" s="453"/>
      <c r="W408" s="3"/>
    </row>
    <row r="409" spans="1:30" ht="15.75" customHeight="1" thickBot="1" x14ac:dyDescent="0.3">
      <c r="A409" s="125" t="s">
        <v>11</v>
      </c>
      <c r="B409" s="320" t="s">
        <v>6</v>
      </c>
      <c r="C409" s="231">
        <f>IF(C397=0,"No Data",K397/(F390/100))</f>
        <v>61.431064572425825</v>
      </c>
      <c r="D409" s="232">
        <f>IF(D397=0,"No Data",L397/(F391/100))</f>
        <v>0.2157497303128133</v>
      </c>
      <c r="E409" s="233" t="str">
        <f>IF(E397=0,"No Data",M397/(F392/100))</f>
        <v>No Data</v>
      </c>
      <c r="F409" s="232" t="str">
        <f>IF(F397=0,"No Data",N397/(F393/100))</f>
        <v>No Data</v>
      </c>
      <c r="G409" s="234" t="str">
        <f>IF(COUNT(O397:R397)=1,"1Fib",IF(COUNT(O397:R397)&lt;2,"No Data",IF(AND(S397&gt;G387,G387&gt;T397),"Yes","No")))</f>
        <v>Yes</v>
      </c>
      <c r="H409" s="235">
        <f>IF(COUNTBLANK(C397:F397)=4,"No Data",MIN(C409:F409))</f>
        <v>0.2157497303128133</v>
      </c>
      <c r="I409" s="236"/>
      <c r="K409" s="238" t="str">
        <f>CONCATENATE(IF(L409=1,IF(OR(AND(G409="1Fib",H409&lt;$Z$51),AND(G409="Yes",H409&lt;$Z$51),AND(G409="No",H409&lt;$Z$51)),"Valid","Invalid"),""),IF(L409=2,IF(OR(AND(G409="1Fib",H409&lt;$Z$51),AND(G409="Yes",H409&lt;$Z$51),AND(G409="Yes",H409&gt;$Z$51)),"Valid","Invalid"),""),IF(L409=3,IF(OR(AND(G409="1Fib",H409&lt;$Z$51),AND(G409="Yes",H409&lt;$Z$51),AND(G409="Yes",H409&gt;$Z$51),AND(G409="No",H409&lt;$Z$51)),"Valid","Invalid"),""))</f>
        <v>Valid</v>
      </c>
      <c r="L409" s="342">
        <v>3</v>
      </c>
      <c r="M409" s="238" t="str">
        <f>CONCATENATE(IF(N409=1,IF(OR(AND(G409="1Fib",H409&lt;$Z$51),AND(G409="Yes",H409&lt;$Z$51),AND(G409="No",H409&lt;$Z$51)),"Valid","Invalid"),""),IF(N409=2,IF(OR(AND(G409="1Fib",H409&lt;$Z$51),AND(G409="Yes",H409&lt;$Z$51),AND(G409="Yes",H409&gt;$Z$51)),"Valid","Invalid"),""),IF(N409=3,IF(OR(AND(G409="1Fib",H409&lt;$Z$51),AND(G409="Yes",H409&lt;$Z$51),AND(G409="Yes",H409&gt;$Z$51),AND(G409="No",H409&lt;$Z$51)),"Valid","Invalid"),""))</f>
        <v>Valid</v>
      </c>
      <c r="N409" s="342">
        <v>1</v>
      </c>
      <c r="O409" s="238" t="str">
        <f>CONCATENATE(IF(P409=1,IF(OR(AND(G409="1Fib",H409&lt;$Z$51),AND(G409="Yes",H409&lt;$Z$51),AND(G409="No",H409&lt;$Z$51)),"Valid","Invalid"),""),IF(P409=2,IF(OR(AND(G409="1Fib",H409&lt;$Z$51),AND(G409="Yes",H409&lt;$Z$51),AND(G409="Yes",H409&gt;$Z$51)),"Valid","Invalid"),""),IF(P409=3,IF(OR(AND(G409="1Fib",H409&lt;$Z$51),AND(G409="Yes",H409&lt;$Z$51),AND(G409="Yes",H409&gt;$Z$51),AND(G409="No",H409&lt;$Z$51)),"Valid","Invalid"),""))</f>
        <v>Valid</v>
      </c>
      <c r="P409" s="342">
        <v>3</v>
      </c>
      <c r="Q409" s="242" t="s">
        <v>106</v>
      </c>
      <c r="R409" s="243">
        <f>IF(Z414="Y",I411,MAX(H409, H410, I411))</f>
        <v>11.231773534256623</v>
      </c>
      <c r="S409" s="372" t="str">
        <f>IF(R415="","Structure approved","Structure fault!")</f>
        <v>Structure fault!</v>
      </c>
      <c r="T409" s="373"/>
      <c r="U409" s="374"/>
      <c r="W409" s="3"/>
      <c r="Y409" s="226"/>
      <c r="Z409" s="418" t="s">
        <v>45</v>
      </c>
      <c r="AA409" s="419"/>
      <c r="AB409" s="420"/>
      <c r="AC409" s="226"/>
    </row>
    <row r="410" spans="1:30" ht="15.75" customHeight="1" thickBot="1" x14ac:dyDescent="0.3">
      <c r="A410" s="125" t="s">
        <v>12</v>
      </c>
      <c r="B410" s="324" t="s">
        <v>7</v>
      </c>
      <c r="C410" s="244">
        <f>IF(C398=0,"No Data",K398/(H390/100))</f>
        <v>105.88651478703841</v>
      </c>
      <c r="D410" s="245">
        <f>IF(D398=0,"No Data",L398/(H391/100))</f>
        <v>11.231773534256623</v>
      </c>
      <c r="E410" s="246" t="str">
        <f>IF(E398=0,"No Data",M398/(H392/100))</f>
        <v>No Data</v>
      </c>
      <c r="F410" s="245" t="str">
        <f>IF(F398=0,"No Data",N398/(H393/100))</f>
        <v>No Data</v>
      </c>
      <c r="G410" s="247" t="str">
        <f>IF(COUNT(O398:R398)=1,"1Fib",IF(COUNT(O398:R398)&lt;2,"No Data",IF(AND(S398&gt;I387,I387&gt;T398),"Yes","No")))</f>
        <v>Yes</v>
      </c>
      <c r="H410" s="270">
        <f>IF(COUNTBLANK(C398:F398)=4,"No Data",MIN(C410:F410))</f>
        <v>11.231773534256623</v>
      </c>
      <c r="I410" s="248"/>
      <c r="K410" s="249" t="str">
        <f>CONCATENATE(IF(L410=1,IF(OR(AND(G410="1Fib",H410&lt;$Z$51),AND(G410="Yes",H410&lt;$Z$51),AND(G410="No",H410&lt;$Z$51)),"Valid","Invalid"),""),IF(L410=2,IF(OR(AND(G410="1Fib",H410&lt;$Z$51),AND(G410="Yes",H410&lt;$Z$51),AND(G410="Yes",H410&gt;$Z$51)),"Valid","Invalid"),""),IF(L410=3,IF(OR(AND(G410="1Fib",H410&lt;$Z$51),AND(G410="Yes",H410&lt;$Z$51),AND(G410="Yes",H410&gt;$Z$51),AND(G410="No",H410&lt;$Z$51)),"Valid","Invalid"),""))</f>
        <v>Invalid</v>
      </c>
      <c r="L410" s="342">
        <v>1</v>
      </c>
      <c r="M410" s="249" t="str">
        <f>CONCATENATE(IF(N410=1,IF(OR(AND(G410="1Fib",H410&lt;$Z$51),AND(G410="Yes",H410&lt;$Z$51),AND(G410="No",H410&lt;$Z$51)),"Valid","Invalid"),""),IF(N410=2,IF(OR(AND(G410="1Fib",H410&lt;$Z$51),AND(G410="Yes",H410&lt;$Z$51),AND(G410="Yes",H410&gt;$Z$51)),"Valid","Invalid"),""),IF(N410=3,IF(OR(AND(G410="1Fib",H410&lt;$Z$51),AND(G410="Yes",H410&lt;$Z$51),AND(G410="Yes",H410&gt;$Z$51),AND(G410="No",H410&lt;$Z$51)),"Valid","Invalid"),""))</f>
        <v>Invalid</v>
      </c>
      <c r="N410" s="342">
        <v>1</v>
      </c>
      <c r="O410" s="249" t="str">
        <f>CONCATENATE(IF(P410=1,IF(OR(AND(G410="1Fib",H410&lt;$Z$51),AND(G410="Yes",H410&lt;$Z$51),AND(G410="No",H410&lt;$Z$51)),"Valid","Invalid"),""),IF(P410=2,IF(OR(AND(G410="1Fib",H410&lt;$Z$51),AND(G410="Yes",H410&lt;$Z$51),AND(G410="Yes",H410&gt;$Z$51)),"Valid","Invalid"),""),IF(P410=3,IF(OR(AND(G410="1Fib",H410&lt;$Z$51),AND(G410="Yes",H410&lt;$Z$51),AND(G410="Yes",H410&gt;$Z$51),AND(G410="No",H410&lt;$Z$51)),"Valid","Invalid"),""))</f>
        <v>Valid</v>
      </c>
      <c r="P410" s="342">
        <v>3</v>
      </c>
      <c r="Q410" s="250" t="s">
        <v>107</v>
      </c>
      <c r="R410" s="243">
        <f>IF(Z414="Y",I414,MAX(H417,H416,I414))</f>
        <v>6.25</v>
      </c>
      <c r="S410" s="375"/>
      <c r="T410" s="376"/>
      <c r="U410" s="377"/>
      <c r="W410" s="3"/>
      <c r="Y410" s="2"/>
      <c r="Z410" s="95" t="s">
        <v>43</v>
      </c>
      <c r="AB410" s="95" t="s">
        <v>44</v>
      </c>
    </row>
    <row r="411" spans="1:30" ht="15.75" customHeight="1" thickBot="1" x14ac:dyDescent="0.3">
      <c r="A411" s="125" t="s">
        <v>13</v>
      </c>
      <c r="B411" s="324" t="s">
        <v>8</v>
      </c>
      <c r="C411" s="251">
        <f>IF(C399=0,"No Data",K399/(J390/100))</f>
        <v>5.6322807927553393</v>
      </c>
      <c r="D411" s="252">
        <f>IF(D399=0,"No Data",L399/(J391/100))</f>
        <v>48.676752800464179</v>
      </c>
      <c r="E411" s="253" t="str">
        <f>IF(E399=0,"No Data",M399/(J392/100))</f>
        <v>No Data</v>
      </c>
      <c r="F411" s="252" t="str">
        <f>IF(F399=0,"No Data",N399/(J393/100))</f>
        <v>No Data</v>
      </c>
      <c r="G411" s="247" t="str">
        <f>IF(COUNT(O399:R399)=1,"1Fib",IF(COUNT(O399:R399)&lt;2,"No Data",IF(AND(S399&gt;K387,K387&gt;T399),"Yes","No")))</f>
        <v>Yes</v>
      </c>
      <c r="H411" s="270">
        <f>IF(COUNTBLANK(C399:F399)=4,"No Data",MIN(C411:F411))</f>
        <v>5.6322807927553393</v>
      </c>
      <c r="I411" s="254">
        <f>MIN(C411:F413)</f>
        <v>5.6322807927553393</v>
      </c>
      <c r="J411" s="2" t="s">
        <v>32</v>
      </c>
      <c r="K411" s="249" t="str">
        <f t="shared" ref="K411:K413" si="192">CONCATENATE(IF(L411=1,IF(OR(AND(G411="1Fib",H411&lt;$Z$51),AND(G411="Yes",H411&lt;$Z$51),AND(G411="No",H411&lt;$Z$51)),"Valid","Invalid"),""),IF(L411=2,IF(OR(AND(G411="1Fib",H411&lt;$Z$51),AND(G411="Yes",H411&lt;$Z$51),AND(G411="Yes",H411&gt;$Z$51)),"Valid","Invalid"),""),IF(L411=3,IF(OR(AND(G411="1Fib",H411&lt;$Z$51),AND(G411="Yes",H411&lt;$Z$51),AND(G411="Yes",H411&gt;$Z$51),AND(G411="No",H411&lt;$Z$51)),"Valid","Invalid"),""))</f>
        <v>Valid</v>
      </c>
      <c r="L411" s="342">
        <v>2</v>
      </c>
      <c r="M411" s="249" t="str">
        <f t="shared" ref="M411:M413" si="193">CONCATENATE(IF(N411=1,IF(OR(AND(G411="1Fib",H411&lt;$Z$51),AND(G411="Yes",H411&lt;$Z$51),AND(G411="No",H411&lt;$Z$51)),"Valid","Invalid"),""),IF(N411=2,IF(OR(AND(G411="1Fib",H411&lt;$Z$51),AND(G411="Yes",H411&lt;$Z$51),AND(G411="Yes",H411&gt;$Z$51)),"Valid","Invalid"),""),IF(N411=3,IF(OR(AND(G411="1Fib",H411&lt;$Z$51),AND(G411="Yes",H411&lt;$Z$51),AND(G411="Yes",H411&gt;$Z$51),AND(G411="No",H411&lt;$Z$51)),"Valid","Invalid"),""))</f>
        <v>Valid</v>
      </c>
      <c r="N411" s="342">
        <v>1</v>
      </c>
      <c r="O411" s="249" t="str">
        <f t="shared" ref="O411:O413" si="194">CONCATENATE(IF(P411=1,IF(OR(AND(G411="1Fib",H411&lt;$Z$51),AND(G411="Yes",H411&lt;$Z$51),AND(G411="No",H411&lt;$Z$51)),"Valid","Invalid"),""),IF(P411=2,IF(OR(AND(G411="1Fib",H411&lt;$Z$51),AND(G411="Yes",H411&lt;$Z$51),AND(G411="Yes",H411&gt;$Z$51)),"Valid","Invalid"),""),IF(P411=3,IF(OR(AND(G411="1Fib",H411&lt;$Z$51),AND(G411="Yes",H411&lt;$Z$51),AND(G411="Yes",H411&gt;$Z$51),AND(G411="No",H411&lt;$Z$51)),"Valid","Invalid"),""))</f>
        <v>Valid</v>
      </c>
      <c r="P411" s="342">
        <v>3</v>
      </c>
      <c r="Q411" s="242" t="s">
        <v>108</v>
      </c>
      <c r="R411" s="243">
        <f>IF(Z414="Y",MAX(H411:H413),MAX(H409,H410,I411,I414,H416,H417))</f>
        <v>11.231773534256623</v>
      </c>
      <c r="S411" s="375"/>
      <c r="T411" s="376"/>
      <c r="U411" s="377"/>
      <c r="W411" s="3"/>
      <c r="Y411" s="255" t="s">
        <v>28</v>
      </c>
      <c r="Z411" s="256">
        <f>Z375</f>
        <v>8</v>
      </c>
      <c r="AA411" s="2" t="s">
        <v>15</v>
      </c>
      <c r="AB411" s="256">
        <f>AB375</f>
        <v>10</v>
      </c>
      <c r="AC411" s="2" t="s">
        <v>15</v>
      </c>
    </row>
    <row r="412" spans="1:30" ht="15.75" customHeight="1" thickBot="1" x14ac:dyDescent="0.3">
      <c r="A412" s="125" t="s">
        <v>14</v>
      </c>
      <c r="B412" s="324" t="s">
        <v>6</v>
      </c>
      <c r="C412" s="251">
        <f>IF(C400=0,"No Data",K400/(L390/100))</f>
        <v>11.587659894657655</v>
      </c>
      <c r="D412" s="252" t="str">
        <f>IF(D400=0,"No Data",L400/(L391/100))</f>
        <v>No Data</v>
      </c>
      <c r="E412" s="253" t="str">
        <f>IF(E400=0,"No Data",M400/(L392/100))</f>
        <v>No Data</v>
      </c>
      <c r="F412" s="252" t="str">
        <f>IF(F400=0,"No Data",N400/(L393/100))</f>
        <v>No Data</v>
      </c>
      <c r="G412" s="247" t="str">
        <f>IF(COUNT(O400:R400)=1,"1Fib",IF(COUNT(O400:R400)&lt;2,"No Data",IF(AND(S400&gt;K387,K387&gt;T400),"Yes","No")))</f>
        <v>1Fib</v>
      </c>
      <c r="H412" s="270">
        <f>IF(COUNTBLANK(C400:F400)=4,"No Data",MIN(C412:F412))</f>
        <v>11.587659894657655</v>
      </c>
      <c r="I412" s="257">
        <f>MAX(O399:R401)-MIN(O399:R401)</f>
        <v>0.39183800000000035</v>
      </c>
      <c r="J412" s="2" t="s">
        <v>40</v>
      </c>
      <c r="K412" s="249" t="str">
        <f t="shared" si="192"/>
        <v>Invalid</v>
      </c>
      <c r="L412" s="342">
        <v>3</v>
      </c>
      <c r="M412" s="249" t="str">
        <f t="shared" si="193"/>
        <v>Invalid</v>
      </c>
      <c r="N412" s="342">
        <v>1</v>
      </c>
      <c r="O412" s="249" t="str">
        <f t="shared" si="194"/>
        <v>Invalid</v>
      </c>
      <c r="P412" s="342">
        <v>3</v>
      </c>
      <c r="Q412" s="242" t="s">
        <v>54</v>
      </c>
      <c r="R412" s="258">
        <f>SUM(H409,H410,I411)/COUNT(H409,H410,I411)</f>
        <v>5.6932680191082587</v>
      </c>
      <c r="S412" s="375"/>
      <c r="T412" s="376"/>
      <c r="U412" s="377"/>
      <c r="W412" s="3"/>
      <c r="Y412" s="95"/>
      <c r="Z412" s="2"/>
      <c r="AA412" s="95"/>
      <c r="AB412" s="95"/>
      <c r="AC412" s="259"/>
    </row>
    <row r="413" spans="1:30" ht="15.75" customHeight="1" thickBot="1" x14ac:dyDescent="0.3">
      <c r="A413" s="125" t="s">
        <v>29</v>
      </c>
      <c r="B413" s="331" t="s">
        <v>7</v>
      </c>
      <c r="C413" s="260">
        <f>IF(C401=0,"No Data",K401/(N390/100))</f>
        <v>5.6756756756756488</v>
      </c>
      <c r="D413" s="261" t="str">
        <f>IF(D401=0,"No Data",L401/(N391/100))</f>
        <v>No Data</v>
      </c>
      <c r="E413" s="262" t="str">
        <f>IF(E401=0,"No Data",M401/(N392/100))</f>
        <v>No Data</v>
      </c>
      <c r="F413" s="261" t="str">
        <f>IF(F401=0,"No Data",N401/(N393/100))</f>
        <v>No Data</v>
      </c>
      <c r="G413" s="263" t="str">
        <f>IF(COUNT(O401:R401)=1,"1Fib",IF(COUNT(O401:R401)&lt;2,"No Data",IF(AND(S401&gt;K387,K387&gt;T401),"Yes","No")))</f>
        <v>1Fib</v>
      </c>
      <c r="H413" s="264">
        <f>IF(COUNTBLANK(C401:F401)=4,"No Data",MIN(C413:F413))</f>
        <v>5.6756756756756488</v>
      </c>
      <c r="I413" s="265">
        <f>COUNT(C411:F413)</f>
        <v>4</v>
      </c>
      <c r="J413" s="2" t="s">
        <v>41</v>
      </c>
      <c r="K413" s="249" t="str">
        <f t="shared" si="192"/>
        <v>Valid</v>
      </c>
      <c r="L413" s="342">
        <v>2</v>
      </c>
      <c r="M413" s="249" t="str">
        <f t="shared" si="193"/>
        <v>Valid</v>
      </c>
      <c r="N413" s="342">
        <v>1</v>
      </c>
      <c r="O413" s="249" t="str">
        <f t="shared" si="194"/>
        <v>Valid</v>
      </c>
      <c r="P413" s="342">
        <v>3</v>
      </c>
      <c r="Q413" s="250" t="s">
        <v>48</v>
      </c>
      <c r="R413" s="243">
        <f>SUM(I414,H416,H417)/COUNT(I414,H416,H417)</f>
        <v>2.2367902617062785</v>
      </c>
      <c r="S413" s="375"/>
      <c r="T413" s="376"/>
      <c r="U413" s="377"/>
      <c r="W413" s="3"/>
      <c r="Y413" s="2"/>
      <c r="Z413" s="95" t="s">
        <v>38</v>
      </c>
      <c r="AB413" s="95"/>
      <c r="AC413" s="310"/>
    </row>
    <row r="414" spans="1:30" ht="16.5" customHeight="1" thickTop="1" thickBot="1" x14ac:dyDescent="0.3">
      <c r="A414" s="12" t="s">
        <v>47</v>
      </c>
      <c r="B414" s="335" t="s">
        <v>6</v>
      </c>
      <c r="C414" s="268">
        <f>IF(C402=0,"No Data",K402/(G402/100))</f>
        <v>66.666666666666671</v>
      </c>
      <c r="D414" s="268">
        <f t="shared" ref="D414:D417" si="195">IF(D402=0,"No Data",L402/(H402/100))</f>
        <v>27.323656735421455</v>
      </c>
      <c r="E414" s="268">
        <f t="shared" ref="E414:E417" si="196">IF(E402=0,"No Data",M402/(I402/100))</f>
        <v>19.645848289064361</v>
      </c>
      <c r="F414" s="268" t="str">
        <f t="shared" ref="F414:F417" si="197">IF(F402=0,"No Data",N402/(J402/100))</f>
        <v>No Data</v>
      </c>
      <c r="G414" s="269"/>
      <c r="H414" s="270">
        <f>IF(COUNTIF(C402:F402,0)=4,"No Data",MIN(C414:F414))</f>
        <v>19.645848289064361</v>
      </c>
      <c r="I414" s="254">
        <f>MIN(C414:F415)</f>
        <v>6.25</v>
      </c>
      <c r="K414" s="363">
        <f>COUNTIFS(G409:K413,"Valid")</f>
        <v>3</v>
      </c>
      <c r="M414" s="363">
        <f>COUNTIFS(M409:M413,"Valid")</f>
        <v>3</v>
      </c>
      <c r="O414" s="363">
        <f>COUNTIFS(O409:O413,"Valid")</f>
        <v>4</v>
      </c>
      <c r="Q414" s="250" t="s">
        <v>56</v>
      </c>
      <c r="R414" s="243">
        <f>SUM(H409,H410,I411,I414,H416,H417)/COUNT(H409,H410,I411,I414,H416,H417)</f>
        <v>3.9650291404072688</v>
      </c>
      <c r="S414" s="378"/>
      <c r="T414" s="379"/>
      <c r="U414" s="380"/>
      <c r="W414" s="3"/>
      <c r="Y414" s="255" t="s">
        <v>36</v>
      </c>
      <c r="Z414" s="256" t="s">
        <v>57</v>
      </c>
      <c r="AA414" s="255"/>
      <c r="AB414" s="256"/>
      <c r="AC414" s="272"/>
    </row>
    <row r="415" spans="1:30" ht="15.75" customHeight="1" thickBot="1" x14ac:dyDescent="0.3">
      <c r="A415" s="12" t="s">
        <v>47</v>
      </c>
      <c r="B415" s="340" t="s">
        <v>74</v>
      </c>
      <c r="C415" s="273">
        <f t="shared" ref="C415:C417" si="198">IF(C403=0,"No Data",K403/(G403/100))</f>
        <v>6.25</v>
      </c>
      <c r="D415" s="273" t="str">
        <f t="shared" si="195"/>
        <v>No Data</v>
      </c>
      <c r="E415" s="273" t="str">
        <f t="shared" si="196"/>
        <v>No Data</v>
      </c>
      <c r="F415" s="273" t="str">
        <f t="shared" si="197"/>
        <v>No Data</v>
      </c>
      <c r="G415" s="269"/>
      <c r="H415" s="235">
        <f>IF(COUNTIF(C403:F403,0)=4,"No Data",MIN(C415:F415))</f>
        <v>6.25</v>
      </c>
      <c r="I415" s="235"/>
      <c r="K415" s="439" t="s">
        <v>116</v>
      </c>
      <c r="L415" s="439"/>
      <c r="M415" s="439"/>
      <c r="N415" s="439"/>
      <c r="O415" s="439"/>
      <c r="P415" s="439"/>
      <c r="Q415" s="274"/>
      <c r="R415" s="397" t="str">
        <f>CONCATENATE(IF(Y389="Y",Z389,""),IF(Y390="Y",Z390,""),IF(Y391="Y",Z391,""),IF(Y392="Y",Z392,""),IF(Y393="Y",Z393,""),IF(Y394="Y",Z394,""),IF(Y395="Y",Z395,""),IF(Y396="Y",Z396,""),IF(Y397="Y",Z397,""),IF(Y398="Y",Z398,""),IF(Y399="Y",Z399,""),IF(Y400="Y",Z400,""),IF(Y401="Y",Z401,""),IF(Y402="Y",Z402,""),IF(Y403="Y",Z403,""))</f>
        <v>[Weak Structure: More than 8 % Price deviation]</v>
      </c>
      <c r="S415" s="398"/>
      <c r="T415" s="398"/>
      <c r="U415" s="399"/>
      <c r="W415" s="3"/>
      <c r="Y415" s="2"/>
      <c r="Z415" s="2"/>
      <c r="AC415" s="259"/>
    </row>
    <row r="416" spans="1:30" ht="15.75" thickBot="1" x14ac:dyDescent="0.3">
      <c r="A416" s="12" t="s">
        <v>46</v>
      </c>
      <c r="B416" s="139" t="s">
        <v>6</v>
      </c>
      <c r="C416" s="273">
        <f t="shared" si="198"/>
        <v>77.777777777777786</v>
      </c>
      <c r="D416" s="273">
        <f t="shared" si="195"/>
        <v>9.8750171679714249</v>
      </c>
      <c r="E416" s="273">
        <f t="shared" si="196"/>
        <v>0.46037078511883545</v>
      </c>
      <c r="F416" s="273" t="str">
        <f t="shared" si="197"/>
        <v>No Data</v>
      </c>
      <c r="G416" s="275"/>
      <c r="H416" s="235">
        <f>IF(COUNTIF(C404:F404,0)=4,"No Data",MIN(C416:F416))</f>
        <v>0.46037078511883545</v>
      </c>
      <c r="I416" s="235"/>
      <c r="K416" s="440" t="s">
        <v>126</v>
      </c>
      <c r="L416" s="440"/>
      <c r="M416" s="440"/>
      <c r="N416" s="440"/>
      <c r="O416" s="440"/>
      <c r="P416" s="440"/>
      <c r="Q416" s="276" t="s">
        <v>34</v>
      </c>
      <c r="R416" s="400"/>
      <c r="S416" s="401"/>
      <c r="T416" s="401"/>
      <c r="U416" s="402"/>
      <c r="W416" s="3"/>
      <c r="Y416" s="2"/>
      <c r="Z416" s="2"/>
      <c r="AC416" s="259"/>
    </row>
    <row r="417" spans="1:29" ht="15.75" thickBot="1" x14ac:dyDescent="0.3">
      <c r="A417" s="12" t="s">
        <v>66</v>
      </c>
      <c r="B417" s="354" t="s">
        <v>6</v>
      </c>
      <c r="C417" s="277" t="str">
        <f t="shared" si="198"/>
        <v>No Data</v>
      </c>
      <c r="D417" s="277" t="str">
        <f t="shared" si="195"/>
        <v>No Data</v>
      </c>
      <c r="E417" s="277" t="str">
        <f t="shared" si="196"/>
        <v>No Data</v>
      </c>
      <c r="F417" s="277" t="str">
        <f t="shared" si="197"/>
        <v>No Data</v>
      </c>
      <c r="G417" s="278"/>
      <c r="H417" s="235">
        <f>IF(COUNTIF(C405:F405,0)=4,"No Data",MIN(C417:F417))</f>
        <v>0</v>
      </c>
      <c r="I417" s="235"/>
      <c r="K417" s="440" t="s">
        <v>127</v>
      </c>
      <c r="L417" s="440"/>
      <c r="M417" s="440"/>
      <c r="N417" s="440"/>
      <c r="O417" s="440"/>
      <c r="P417" s="440"/>
      <c r="Q417" s="250"/>
      <c r="R417" s="403"/>
      <c r="S417" s="404"/>
      <c r="T417" s="404"/>
      <c r="U417" s="405"/>
      <c r="W417" s="3"/>
      <c r="Y417" s="2"/>
      <c r="Z417" s="256"/>
      <c r="AA417" s="255"/>
      <c r="AB417" s="256"/>
      <c r="AC417" s="259"/>
    </row>
    <row r="418" spans="1:29" x14ac:dyDescent="0.25">
      <c r="I418" s="279"/>
      <c r="J418" s="281"/>
      <c r="K418" s="283"/>
      <c r="L418" s="283"/>
      <c r="M418" s="284"/>
      <c r="N418" s="285"/>
      <c r="O418" s="283"/>
      <c r="P418" s="283"/>
      <c r="W418" s="3"/>
    </row>
    <row r="419" spans="1:29" s="292" customFormat="1" ht="27.75" customHeight="1" x14ac:dyDescent="0.25">
      <c r="A419" s="3"/>
      <c r="B419" s="3"/>
      <c r="C419" s="3"/>
      <c r="D419" s="289"/>
      <c r="E419" s="290"/>
      <c r="F419" s="290"/>
      <c r="G419" s="290"/>
      <c r="M419" s="290"/>
      <c r="N419" s="290"/>
      <c r="O419" s="3"/>
      <c r="P419" s="293"/>
      <c r="Q419" s="294"/>
      <c r="R419" s="295"/>
      <c r="S419" s="295"/>
      <c r="T419" s="3"/>
      <c r="W419" s="3"/>
      <c r="Y419" s="296"/>
      <c r="Z419" s="297"/>
    </row>
    <row r="420" spans="1:29" s="78" customFormat="1" x14ac:dyDescent="0.25">
      <c r="Y420" s="167"/>
      <c r="Z420" s="168"/>
    </row>
    <row r="421" spans="1:29" s="78" customFormat="1" x14ac:dyDescent="0.25">
      <c r="Y421" s="167"/>
      <c r="Z421" s="168"/>
    </row>
    <row r="422" spans="1:29" s="78" customFormat="1" x14ac:dyDescent="0.25">
      <c r="Y422" s="167"/>
      <c r="Z422" s="168"/>
    </row>
    <row r="423" spans="1:29" s="78" customFormat="1" x14ac:dyDescent="0.25">
      <c r="Y423" s="167"/>
      <c r="Z423" s="168"/>
    </row>
    <row r="424" spans="1:29" s="78" customFormat="1" x14ac:dyDescent="0.25">
      <c r="Y424" s="167"/>
      <c r="Z424" s="168"/>
    </row>
    <row r="425" spans="1:29" s="78" customFormat="1" x14ac:dyDescent="0.25">
      <c r="Y425" s="167"/>
      <c r="Z425" s="168"/>
    </row>
    <row r="426" spans="1:29" s="78" customFormat="1" x14ac:dyDescent="0.25">
      <c r="Y426" s="167"/>
      <c r="Z426" s="168"/>
    </row>
    <row r="427" spans="1:29" s="78" customFormat="1" x14ac:dyDescent="0.25">
      <c r="Y427" s="167"/>
      <c r="Z427" s="168"/>
    </row>
    <row r="428" spans="1:29" s="78" customFormat="1" x14ac:dyDescent="0.25">
      <c r="Y428" s="167"/>
      <c r="Z428" s="168"/>
    </row>
    <row r="429" spans="1:29" s="78" customFormat="1" x14ac:dyDescent="0.25">
      <c r="Y429" s="167"/>
      <c r="Z429" s="168"/>
    </row>
    <row r="430" spans="1:29" s="78" customFormat="1" x14ac:dyDescent="0.25">
      <c r="Y430" s="167"/>
      <c r="Z430" s="168"/>
    </row>
    <row r="431" spans="1:29" s="78" customFormat="1" x14ac:dyDescent="0.25">
      <c r="Y431" s="167"/>
      <c r="Z431" s="168"/>
    </row>
    <row r="432" spans="1:29" s="78" customFormat="1" x14ac:dyDescent="0.25">
      <c r="Y432" s="167"/>
      <c r="Z432" s="168"/>
    </row>
    <row r="433" spans="25:26" s="78" customFormat="1" x14ac:dyDescent="0.25">
      <c r="Y433" s="167"/>
      <c r="Z433" s="168"/>
    </row>
    <row r="434" spans="25:26" s="78" customFormat="1" x14ac:dyDescent="0.25">
      <c r="Y434" s="167"/>
      <c r="Z434" s="168"/>
    </row>
    <row r="435" spans="25:26" s="78" customFormat="1" x14ac:dyDescent="0.25">
      <c r="Y435" s="167"/>
      <c r="Z435" s="168"/>
    </row>
    <row r="436" spans="25:26" s="78" customFormat="1" x14ac:dyDescent="0.25">
      <c r="Y436" s="167"/>
      <c r="Z436" s="168"/>
    </row>
    <row r="437" spans="25:26" s="78" customFormat="1" x14ac:dyDescent="0.25">
      <c r="Y437" s="167"/>
      <c r="Z437" s="168"/>
    </row>
    <row r="438" spans="25:26" s="78" customFormat="1" x14ac:dyDescent="0.25">
      <c r="Y438" s="167"/>
      <c r="Z438" s="168"/>
    </row>
    <row r="439" spans="25:26" s="78" customFormat="1" x14ac:dyDescent="0.25">
      <c r="Y439" s="167"/>
      <c r="Z439" s="168"/>
    </row>
    <row r="440" spans="25:26" s="78" customFormat="1" x14ac:dyDescent="0.25">
      <c r="Y440" s="167"/>
      <c r="Z440" s="168"/>
    </row>
    <row r="441" spans="25:26" s="78" customFormat="1" x14ac:dyDescent="0.25">
      <c r="Y441" s="167"/>
      <c r="Z441" s="168"/>
    </row>
    <row r="442" spans="25:26" s="78" customFormat="1" x14ac:dyDescent="0.25">
      <c r="Y442" s="167"/>
      <c r="Z442" s="168"/>
    </row>
    <row r="443" spans="25:26" s="78" customFormat="1" x14ac:dyDescent="0.25">
      <c r="Y443" s="167"/>
      <c r="Z443" s="168"/>
    </row>
    <row r="444" spans="25:26" s="78" customFormat="1" x14ac:dyDescent="0.25">
      <c r="Y444" s="167"/>
      <c r="Z444" s="168"/>
    </row>
    <row r="445" spans="25:26" s="78" customFormat="1" x14ac:dyDescent="0.25">
      <c r="Y445" s="167"/>
      <c r="Z445" s="168"/>
    </row>
    <row r="446" spans="25:26" s="78" customFormat="1" x14ac:dyDescent="0.25">
      <c r="Y446" s="167"/>
      <c r="Z446" s="168"/>
    </row>
    <row r="447" spans="25:26" s="78" customFormat="1" x14ac:dyDescent="0.25">
      <c r="Y447" s="167"/>
      <c r="Z447" s="168"/>
    </row>
    <row r="448" spans="25:26" s="78" customFormat="1" x14ac:dyDescent="0.25">
      <c r="Y448" s="167"/>
      <c r="Z448" s="168"/>
    </row>
    <row r="449" spans="25:26" s="78" customFormat="1" x14ac:dyDescent="0.25">
      <c r="Y449" s="167"/>
      <c r="Z449" s="168"/>
    </row>
    <row r="450" spans="25:26" s="78" customFormat="1" x14ac:dyDescent="0.25">
      <c r="Y450" s="167"/>
      <c r="Z450" s="168"/>
    </row>
    <row r="451" spans="25:26" s="78" customFormat="1" x14ac:dyDescent="0.25">
      <c r="Y451" s="167"/>
      <c r="Z451" s="168"/>
    </row>
    <row r="452" spans="25:26" s="78" customFormat="1" x14ac:dyDescent="0.25">
      <c r="Y452" s="167"/>
      <c r="Z452" s="168"/>
    </row>
    <row r="453" spans="25:26" s="78" customFormat="1" x14ac:dyDescent="0.25">
      <c r="Y453" s="167"/>
      <c r="Z453" s="168"/>
    </row>
    <row r="454" spans="25:26" s="78" customFormat="1" x14ac:dyDescent="0.25">
      <c r="Y454" s="167"/>
      <c r="Z454" s="168"/>
    </row>
    <row r="455" spans="25:26" s="78" customFormat="1" x14ac:dyDescent="0.25">
      <c r="Y455" s="167"/>
      <c r="Z455" s="168"/>
    </row>
    <row r="456" spans="25:26" s="78" customFormat="1" x14ac:dyDescent="0.25">
      <c r="Y456" s="167"/>
      <c r="Z456" s="168"/>
    </row>
    <row r="457" spans="25:26" s="78" customFormat="1" x14ac:dyDescent="0.25">
      <c r="Y457" s="167"/>
      <c r="Z457" s="168"/>
    </row>
    <row r="458" spans="25:26" s="78" customFormat="1" x14ac:dyDescent="0.25">
      <c r="Y458" s="167"/>
      <c r="Z458" s="168"/>
    </row>
    <row r="459" spans="25:26" s="78" customFormat="1" x14ac:dyDescent="0.25">
      <c r="Y459" s="167"/>
      <c r="Z459" s="168"/>
    </row>
    <row r="460" spans="25:26" s="78" customFormat="1" x14ac:dyDescent="0.25">
      <c r="Y460" s="167"/>
      <c r="Z460" s="168"/>
    </row>
    <row r="461" spans="25:26" s="78" customFormat="1" x14ac:dyDescent="0.25">
      <c r="Y461" s="167"/>
      <c r="Z461" s="168"/>
    </row>
    <row r="462" spans="25:26" s="78" customFormat="1" x14ac:dyDescent="0.25">
      <c r="Y462" s="167"/>
      <c r="Z462" s="168"/>
    </row>
    <row r="463" spans="25:26" s="78" customFormat="1" x14ac:dyDescent="0.25">
      <c r="Y463" s="167"/>
      <c r="Z463" s="168"/>
    </row>
    <row r="464" spans="25:26" s="78" customFormat="1" x14ac:dyDescent="0.25">
      <c r="Y464" s="167"/>
      <c r="Z464" s="168"/>
    </row>
    <row r="465" spans="25:26" s="78" customFormat="1" x14ac:dyDescent="0.25">
      <c r="Y465" s="167"/>
      <c r="Z465" s="168"/>
    </row>
    <row r="466" spans="25:26" s="78" customFormat="1" x14ac:dyDescent="0.25">
      <c r="Y466" s="167"/>
      <c r="Z466" s="168"/>
    </row>
    <row r="467" spans="25:26" s="78" customFormat="1" x14ac:dyDescent="0.25">
      <c r="Y467" s="167"/>
      <c r="Z467" s="168"/>
    </row>
    <row r="468" spans="25:26" s="78" customFormat="1" x14ac:dyDescent="0.25">
      <c r="Y468" s="167"/>
      <c r="Z468" s="168"/>
    </row>
    <row r="469" spans="25:26" s="78" customFormat="1" x14ac:dyDescent="0.25">
      <c r="Y469" s="167"/>
      <c r="Z469" s="168"/>
    </row>
    <row r="470" spans="25:26" s="78" customFormat="1" x14ac:dyDescent="0.25">
      <c r="Y470" s="167"/>
      <c r="Z470" s="168"/>
    </row>
    <row r="471" spans="25:26" s="78" customFormat="1" x14ac:dyDescent="0.25">
      <c r="Y471" s="167"/>
      <c r="Z471" s="168"/>
    </row>
    <row r="472" spans="25:26" s="78" customFormat="1" x14ac:dyDescent="0.25">
      <c r="Y472" s="167"/>
      <c r="Z472" s="168"/>
    </row>
    <row r="473" spans="25:26" s="78" customFormat="1" x14ac:dyDescent="0.25">
      <c r="Y473" s="167"/>
      <c r="Z473" s="168"/>
    </row>
    <row r="474" spans="25:26" s="78" customFormat="1" x14ac:dyDescent="0.25">
      <c r="Y474" s="167"/>
      <c r="Z474" s="168"/>
    </row>
    <row r="475" spans="25:26" s="78" customFormat="1" x14ac:dyDescent="0.25">
      <c r="Y475" s="167"/>
      <c r="Z475" s="168"/>
    </row>
    <row r="476" spans="25:26" s="78" customFormat="1" x14ac:dyDescent="0.25">
      <c r="Y476" s="167"/>
      <c r="Z476" s="168"/>
    </row>
    <row r="477" spans="25:26" s="78" customFormat="1" x14ac:dyDescent="0.25">
      <c r="Y477" s="167"/>
      <c r="Z477" s="168"/>
    </row>
    <row r="478" spans="25:26" s="78" customFormat="1" x14ac:dyDescent="0.25">
      <c r="Y478" s="167"/>
      <c r="Z478" s="168"/>
    </row>
    <row r="479" spans="25:26" s="78" customFormat="1" x14ac:dyDescent="0.25">
      <c r="Y479" s="167"/>
      <c r="Z479" s="168"/>
    </row>
    <row r="480" spans="25:26" s="78" customFormat="1" x14ac:dyDescent="0.25">
      <c r="Y480" s="167"/>
      <c r="Z480" s="168"/>
    </row>
    <row r="481" spans="25:26" s="78" customFormat="1" x14ac:dyDescent="0.25">
      <c r="Y481" s="167"/>
      <c r="Z481" s="168"/>
    </row>
    <row r="482" spans="25:26" s="78" customFormat="1" x14ac:dyDescent="0.25">
      <c r="Y482" s="167"/>
      <c r="Z482" s="168"/>
    </row>
    <row r="483" spans="25:26" s="78" customFormat="1" x14ac:dyDescent="0.25">
      <c r="Y483" s="167"/>
      <c r="Z483" s="168"/>
    </row>
    <row r="484" spans="25:26" s="78" customFormat="1" x14ac:dyDescent="0.25">
      <c r="Y484" s="167"/>
      <c r="Z484" s="168"/>
    </row>
    <row r="485" spans="25:26" s="78" customFormat="1" x14ac:dyDescent="0.25">
      <c r="Y485" s="167"/>
      <c r="Z485" s="168"/>
    </row>
    <row r="486" spans="25:26" s="78" customFormat="1" x14ac:dyDescent="0.25">
      <c r="Y486" s="167"/>
      <c r="Z486" s="168"/>
    </row>
    <row r="487" spans="25:26" s="78" customFormat="1" x14ac:dyDescent="0.25">
      <c r="Y487" s="167"/>
      <c r="Z487" s="168"/>
    </row>
    <row r="488" spans="25:26" s="78" customFormat="1" x14ac:dyDescent="0.25">
      <c r="Y488" s="167"/>
      <c r="Z488" s="168"/>
    </row>
    <row r="489" spans="25:26" s="78" customFormat="1" x14ac:dyDescent="0.25">
      <c r="Y489" s="167"/>
      <c r="Z489" s="168"/>
    </row>
    <row r="490" spans="25:26" s="78" customFormat="1" x14ac:dyDescent="0.25">
      <c r="Y490" s="167"/>
      <c r="Z490" s="168"/>
    </row>
    <row r="491" spans="25:26" s="78" customFormat="1" x14ac:dyDescent="0.25">
      <c r="Y491" s="167"/>
      <c r="Z491" s="168"/>
    </row>
    <row r="492" spans="25:26" s="78" customFormat="1" x14ac:dyDescent="0.25">
      <c r="Y492" s="167"/>
      <c r="Z492" s="168"/>
    </row>
    <row r="493" spans="25:26" s="78" customFormat="1" x14ac:dyDescent="0.25">
      <c r="Y493" s="167"/>
      <c r="Z493" s="168"/>
    </row>
    <row r="494" spans="25:26" s="78" customFormat="1" x14ac:dyDescent="0.25">
      <c r="Y494" s="167"/>
      <c r="Z494" s="168"/>
    </row>
    <row r="495" spans="25:26" s="78" customFormat="1" x14ac:dyDescent="0.25">
      <c r="Y495" s="167"/>
      <c r="Z495" s="168"/>
    </row>
    <row r="496" spans="25:26" s="78" customFormat="1" x14ac:dyDescent="0.25">
      <c r="Y496" s="167"/>
      <c r="Z496" s="168"/>
    </row>
    <row r="497" spans="25:26" s="78" customFormat="1" x14ac:dyDescent="0.25">
      <c r="Y497" s="167"/>
      <c r="Z497" s="168"/>
    </row>
    <row r="498" spans="25:26" s="78" customFormat="1" x14ac:dyDescent="0.25">
      <c r="Y498" s="167"/>
      <c r="Z498" s="168"/>
    </row>
    <row r="499" spans="25:26" s="78" customFormat="1" x14ac:dyDescent="0.25">
      <c r="Y499" s="167"/>
      <c r="Z499" s="168"/>
    </row>
    <row r="500" spans="25:26" s="78" customFormat="1" x14ac:dyDescent="0.25">
      <c r="Y500" s="167"/>
      <c r="Z500" s="168"/>
    </row>
    <row r="501" spans="25:26" s="78" customFormat="1" x14ac:dyDescent="0.25">
      <c r="Y501" s="167"/>
      <c r="Z501" s="168"/>
    </row>
    <row r="502" spans="25:26" s="78" customFormat="1" x14ac:dyDescent="0.25">
      <c r="Y502" s="167"/>
      <c r="Z502" s="168"/>
    </row>
    <row r="503" spans="25:26" s="78" customFormat="1" x14ac:dyDescent="0.25">
      <c r="Y503" s="167"/>
      <c r="Z503" s="168"/>
    </row>
    <row r="504" spans="25:26" s="78" customFormat="1" x14ac:dyDescent="0.25">
      <c r="Y504" s="167"/>
      <c r="Z504" s="168"/>
    </row>
    <row r="505" spans="25:26" s="78" customFormat="1" x14ac:dyDescent="0.25">
      <c r="Y505" s="167"/>
      <c r="Z505" s="168"/>
    </row>
    <row r="506" spans="25:26" s="78" customFormat="1" x14ac:dyDescent="0.25">
      <c r="Y506" s="167"/>
      <c r="Z506" s="168"/>
    </row>
    <row r="507" spans="25:26" s="78" customFormat="1" x14ac:dyDescent="0.25">
      <c r="Y507" s="167"/>
      <c r="Z507" s="168"/>
    </row>
    <row r="508" spans="25:26" s="78" customFormat="1" x14ac:dyDescent="0.25">
      <c r="Y508" s="167"/>
      <c r="Z508" s="168"/>
    </row>
    <row r="509" spans="25:26" s="78" customFormat="1" x14ac:dyDescent="0.25">
      <c r="Y509" s="167"/>
      <c r="Z509" s="168"/>
    </row>
    <row r="510" spans="25:26" s="78" customFormat="1" x14ac:dyDescent="0.25">
      <c r="Y510" s="167"/>
      <c r="Z510" s="168"/>
    </row>
    <row r="511" spans="25:26" s="78" customFormat="1" x14ac:dyDescent="0.25">
      <c r="Y511" s="167"/>
      <c r="Z511" s="168"/>
    </row>
    <row r="512" spans="25:26" s="78" customFormat="1" x14ac:dyDescent="0.25">
      <c r="Y512" s="167"/>
      <c r="Z512" s="168"/>
    </row>
    <row r="513" spans="25:26" s="78" customFormat="1" x14ac:dyDescent="0.25">
      <c r="Y513" s="167"/>
      <c r="Z513" s="168"/>
    </row>
    <row r="514" spans="25:26" s="78" customFormat="1" x14ac:dyDescent="0.25">
      <c r="Y514" s="167"/>
      <c r="Z514" s="168"/>
    </row>
    <row r="515" spans="25:26" s="78" customFormat="1" x14ac:dyDescent="0.25">
      <c r="Y515" s="167"/>
      <c r="Z515" s="168"/>
    </row>
    <row r="516" spans="25:26" s="78" customFormat="1" x14ac:dyDescent="0.25">
      <c r="Y516" s="167"/>
      <c r="Z516" s="168"/>
    </row>
    <row r="517" spans="25:26" s="78" customFormat="1" x14ac:dyDescent="0.25">
      <c r="Y517" s="167"/>
      <c r="Z517" s="168"/>
    </row>
    <row r="518" spans="25:26" s="78" customFormat="1" x14ac:dyDescent="0.25">
      <c r="Y518" s="167"/>
      <c r="Z518" s="168"/>
    </row>
    <row r="519" spans="25:26" s="78" customFormat="1" x14ac:dyDescent="0.25">
      <c r="Y519" s="167"/>
      <c r="Z519" s="168"/>
    </row>
    <row r="520" spans="25:26" s="78" customFormat="1" x14ac:dyDescent="0.25">
      <c r="Y520" s="167"/>
      <c r="Z520" s="168"/>
    </row>
    <row r="521" spans="25:26" s="78" customFormat="1" x14ac:dyDescent="0.25">
      <c r="Y521" s="167"/>
      <c r="Z521" s="168"/>
    </row>
    <row r="522" spans="25:26" s="78" customFormat="1" x14ac:dyDescent="0.25">
      <c r="Y522" s="167"/>
      <c r="Z522" s="168"/>
    </row>
    <row r="523" spans="25:26" s="78" customFormat="1" x14ac:dyDescent="0.25">
      <c r="Y523" s="167"/>
      <c r="Z523" s="168"/>
    </row>
    <row r="524" spans="25:26" s="78" customFormat="1" x14ac:dyDescent="0.25">
      <c r="Y524" s="167"/>
      <c r="Z524" s="168"/>
    </row>
    <row r="525" spans="25:26" s="78" customFormat="1" x14ac:dyDescent="0.25">
      <c r="Y525" s="167"/>
      <c r="Z525" s="168"/>
    </row>
    <row r="526" spans="25:26" s="78" customFormat="1" x14ac:dyDescent="0.25">
      <c r="Y526" s="167"/>
      <c r="Z526" s="168"/>
    </row>
    <row r="527" spans="25:26" s="78" customFormat="1" x14ac:dyDescent="0.25">
      <c r="Y527" s="167"/>
      <c r="Z527" s="168"/>
    </row>
    <row r="528" spans="25:26" s="78" customFormat="1" x14ac:dyDescent="0.25">
      <c r="Y528" s="167"/>
      <c r="Z528" s="168"/>
    </row>
    <row r="529" spans="25:26" s="78" customFormat="1" x14ac:dyDescent="0.25">
      <c r="Y529" s="167"/>
      <c r="Z529" s="168"/>
    </row>
    <row r="530" spans="25:26" s="78" customFormat="1" x14ac:dyDescent="0.25">
      <c r="Y530" s="167"/>
      <c r="Z530" s="168"/>
    </row>
    <row r="531" spans="25:26" s="78" customFormat="1" x14ac:dyDescent="0.25">
      <c r="Y531" s="167"/>
      <c r="Z531" s="168"/>
    </row>
    <row r="532" spans="25:26" s="78" customFormat="1" x14ac:dyDescent="0.25">
      <c r="Y532" s="167"/>
      <c r="Z532" s="168"/>
    </row>
    <row r="533" spans="25:26" s="78" customFormat="1" x14ac:dyDescent="0.25">
      <c r="Y533" s="167"/>
      <c r="Z533" s="168"/>
    </row>
    <row r="534" spans="25:26" s="78" customFormat="1" x14ac:dyDescent="0.25">
      <c r="Y534" s="167"/>
      <c r="Z534" s="168"/>
    </row>
    <row r="535" spans="25:26" s="78" customFormat="1" x14ac:dyDescent="0.25">
      <c r="Y535" s="167"/>
      <c r="Z535" s="168"/>
    </row>
    <row r="536" spans="25:26" s="78" customFormat="1" x14ac:dyDescent="0.25">
      <c r="Y536" s="167"/>
      <c r="Z536" s="168"/>
    </row>
    <row r="537" spans="25:26" s="78" customFormat="1" x14ac:dyDescent="0.25">
      <c r="Y537" s="167"/>
      <c r="Z537" s="168"/>
    </row>
    <row r="538" spans="25:26" s="78" customFormat="1" x14ac:dyDescent="0.25">
      <c r="Y538" s="167"/>
      <c r="Z538" s="168"/>
    </row>
    <row r="539" spans="25:26" s="78" customFormat="1" x14ac:dyDescent="0.25">
      <c r="Y539" s="167"/>
      <c r="Z539" s="168"/>
    </row>
    <row r="540" spans="25:26" s="78" customFormat="1" x14ac:dyDescent="0.25">
      <c r="Y540" s="167"/>
      <c r="Z540" s="168"/>
    </row>
    <row r="541" spans="25:26" s="78" customFormat="1" x14ac:dyDescent="0.25">
      <c r="Y541" s="167"/>
      <c r="Z541" s="168"/>
    </row>
    <row r="542" spans="25:26" s="78" customFormat="1" x14ac:dyDescent="0.25">
      <c r="Y542" s="167"/>
      <c r="Z542" s="168"/>
    </row>
    <row r="543" spans="25:26" s="78" customFormat="1" x14ac:dyDescent="0.25">
      <c r="Y543" s="167"/>
      <c r="Z543" s="168"/>
    </row>
    <row r="544" spans="25:26" s="78" customFormat="1" x14ac:dyDescent="0.25">
      <c r="Y544" s="167"/>
      <c r="Z544" s="168"/>
    </row>
    <row r="545" spans="25:26" s="78" customFormat="1" x14ac:dyDescent="0.25">
      <c r="Y545" s="167"/>
      <c r="Z545" s="168"/>
    </row>
    <row r="546" spans="25:26" s="78" customFormat="1" x14ac:dyDescent="0.25">
      <c r="Y546" s="167"/>
      <c r="Z546" s="168"/>
    </row>
    <row r="547" spans="25:26" s="78" customFormat="1" x14ac:dyDescent="0.25">
      <c r="Y547" s="167"/>
      <c r="Z547" s="168"/>
    </row>
    <row r="548" spans="25:26" s="78" customFormat="1" x14ac:dyDescent="0.25">
      <c r="Y548" s="167"/>
      <c r="Z548" s="168"/>
    </row>
    <row r="549" spans="25:26" s="78" customFormat="1" x14ac:dyDescent="0.25">
      <c r="Y549" s="167"/>
      <c r="Z549" s="168"/>
    </row>
    <row r="550" spans="25:26" s="78" customFormat="1" x14ac:dyDescent="0.25">
      <c r="Y550" s="167"/>
      <c r="Z550" s="168"/>
    </row>
    <row r="551" spans="25:26" s="78" customFormat="1" x14ac:dyDescent="0.25">
      <c r="Y551" s="167"/>
      <c r="Z551" s="168"/>
    </row>
    <row r="552" spans="25:26" s="78" customFormat="1" x14ac:dyDescent="0.25">
      <c r="Y552" s="167"/>
      <c r="Z552" s="168"/>
    </row>
    <row r="553" spans="25:26" s="78" customFormat="1" x14ac:dyDescent="0.25">
      <c r="Y553" s="167"/>
      <c r="Z553" s="168"/>
    </row>
    <row r="554" spans="25:26" s="78" customFormat="1" x14ac:dyDescent="0.25">
      <c r="Y554" s="167"/>
      <c r="Z554" s="168"/>
    </row>
    <row r="555" spans="25:26" s="78" customFormat="1" x14ac:dyDescent="0.25">
      <c r="Y555" s="167"/>
      <c r="Z555" s="168"/>
    </row>
    <row r="556" spans="25:26" s="78" customFormat="1" x14ac:dyDescent="0.25">
      <c r="Y556" s="167"/>
      <c r="Z556" s="168"/>
    </row>
    <row r="557" spans="25:26" s="78" customFormat="1" x14ac:dyDescent="0.25">
      <c r="Y557" s="167"/>
      <c r="Z557" s="168"/>
    </row>
    <row r="558" spans="25:26" s="78" customFormat="1" x14ac:dyDescent="0.25">
      <c r="Y558" s="167"/>
      <c r="Z558" s="168"/>
    </row>
    <row r="559" spans="25:26" s="78" customFormat="1" x14ac:dyDescent="0.25">
      <c r="Y559" s="167"/>
      <c r="Z559" s="168"/>
    </row>
    <row r="560" spans="25:26" s="78" customFormat="1" x14ac:dyDescent="0.25">
      <c r="Y560" s="167"/>
      <c r="Z560" s="168"/>
    </row>
    <row r="561" spans="25:26" s="78" customFormat="1" x14ac:dyDescent="0.25">
      <c r="Y561" s="167"/>
      <c r="Z561" s="168"/>
    </row>
    <row r="562" spans="25:26" s="78" customFormat="1" x14ac:dyDescent="0.25">
      <c r="Y562" s="167"/>
      <c r="Z562" s="168"/>
    </row>
    <row r="563" spans="25:26" s="78" customFormat="1" x14ac:dyDescent="0.25">
      <c r="Y563" s="167"/>
      <c r="Z563" s="168"/>
    </row>
    <row r="564" spans="25:26" s="78" customFormat="1" x14ac:dyDescent="0.25">
      <c r="Y564" s="167"/>
      <c r="Z564" s="168"/>
    </row>
    <row r="565" spans="25:26" s="78" customFormat="1" x14ac:dyDescent="0.25">
      <c r="Y565" s="167"/>
      <c r="Z565" s="168"/>
    </row>
    <row r="566" spans="25:26" s="78" customFormat="1" x14ac:dyDescent="0.25">
      <c r="Y566" s="167"/>
      <c r="Z566" s="168"/>
    </row>
    <row r="567" spans="25:26" s="78" customFormat="1" x14ac:dyDescent="0.25">
      <c r="Y567" s="167"/>
      <c r="Z567" s="168"/>
    </row>
    <row r="568" spans="25:26" s="78" customFormat="1" x14ac:dyDescent="0.25">
      <c r="Y568" s="167"/>
      <c r="Z568" s="168"/>
    </row>
    <row r="569" spans="25:26" s="78" customFormat="1" x14ac:dyDescent="0.25">
      <c r="Y569" s="167"/>
      <c r="Z569" s="168"/>
    </row>
    <row r="570" spans="25:26" s="78" customFormat="1" x14ac:dyDescent="0.25">
      <c r="Y570" s="167"/>
      <c r="Z570" s="168"/>
    </row>
    <row r="571" spans="25:26" s="78" customFormat="1" x14ac:dyDescent="0.25">
      <c r="Y571" s="167"/>
      <c r="Z571" s="168"/>
    </row>
    <row r="572" spans="25:26" s="78" customFormat="1" x14ac:dyDescent="0.25">
      <c r="Y572" s="167"/>
      <c r="Z572" s="168"/>
    </row>
    <row r="573" spans="25:26" s="78" customFormat="1" x14ac:dyDescent="0.25">
      <c r="Y573" s="167"/>
      <c r="Z573" s="168"/>
    </row>
    <row r="574" spans="25:26" s="78" customFormat="1" x14ac:dyDescent="0.25">
      <c r="Y574" s="167"/>
      <c r="Z574" s="168"/>
    </row>
    <row r="575" spans="25:26" s="78" customFormat="1" x14ac:dyDescent="0.25">
      <c r="Y575" s="167"/>
      <c r="Z575" s="168"/>
    </row>
    <row r="576" spans="25:26" s="78" customFormat="1" x14ac:dyDescent="0.25">
      <c r="Y576" s="167"/>
      <c r="Z576" s="168"/>
    </row>
    <row r="577" spans="25:26" s="78" customFormat="1" x14ac:dyDescent="0.25">
      <c r="Y577" s="167"/>
      <c r="Z577" s="168"/>
    </row>
    <row r="578" spans="25:26" s="78" customFormat="1" x14ac:dyDescent="0.25">
      <c r="Y578" s="167"/>
      <c r="Z578" s="168"/>
    </row>
    <row r="579" spans="25:26" s="78" customFormat="1" x14ac:dyDescent="0.25">
      <c r="Y579" s="167"/>
      <c r="Z579" s="168"/>
    </row>
    <row r="580" spans="25:26" s="78" customFormat="1" x14ac:dyDescent="0.25">
      <c r="Y580" s="167"/>
      <c r="Z580" s="168"/>
    </row>
    <row r="581" spans="25:26" s="78" customFormat="1" x14ac:dyDescent="0.25">
      <c r="Y581" s="167"/>
      <c r="Z581" s="168"/>
    </row>
    <row r="582" spans="25:26" s="78" customFormat="1" x14ac:dyDescent="0.25">
      <c r="Y582" s="167"/>
      <c r="Z582" s="168"/>
    </row>
    <row r="583" spans="25:26" s="78" customFormat="1" x14ac:dyDescent="0.25">
      <c r="Y583" s="167"/>
      <c r="Z583" s="168"/>
    </row>
    <row r="584" spans="25:26" s="78" customFormat="1" x14ac:dyDescent="0.25">
      <c r="Y584" s="167"/>
      <c r="Z584" s="168"/>
    </row>
    <row r="585" spans="25:26" s="78" customFormat="1" x14ac:dyDescent="0.25">
      <c r="Y585" s="167"/>
      <c r="Z585" s="168"/>
    </row>
    <row r="586" spans="25:26" s="78" customFormat="1" x14ac:dyDescent="0.25">
      <c r="Y586" s="167"/>
      <c r="Z586" s="168"/>
    </row>
    <row r="587" spans="25:26" s="78" customFormat="1" x14ac:dyDescent="0.25">
      <c r="Y587" s="167"/>
      <c r="Z587" s="168"/>
    </row>
    <row r="588" spans="25:26" s="78" customFormat="1" x14ac:dyDescent="0.25">
      <c r="Y588" s="167"/>
      <c r="Z588" s="168"/>
    </row>
    <row r="589" spans="25:26" s="78" customFormat="1" x14ac:dyDescent="0.25">
      <c r="Y589" s="167"/>
      <c r="Z589" s="168"/>
    </row>
    <row r="590" spans="25:26" s="78" customFormat="1" x14ac:dyDescent="0.25">
      <c r="Y590" s="167"/>
      <c r="Z590" s="168"/>
    </row>
    <row r="591" spans="25:26" s="78" customFormat="1" x14ac:dyDescent="0.25">
      <c r="Y591" s="167"/>
      <c r="Z591" s="168"/>
    </row>
    <row r="592" spans="25:26" s="78" customFormat="1" x14ac:dyDescent="0.25">
      <c r="Y592" s="167"/>
      <c r="Z592" s="168"/>
    </row>
    <row r="593" spans="25:26" s="78" customFormat="1" x14ac:dyDescent="0.25">
      <c r="Y593" s="167"/>
      <c r="Z593" s="168"/>
    </row>
    <row r="594" spans="25:26" s="78" customFormat="1" x14ac:dyDescent="0.25">
      <c r="Y594" s="167"/>
      <c r="Z594" s="168"/>
    </row>
    <row r="595" spans="25:26" s="78" customFormat="1" x14ac:dyDescent="0.25">
      <c r="Y595" s="167"/>
      <c r="Z595" s="168"/>
    </row>
    <row r="596" spans="25:26" s="78" customFormat="1" x14ac:dyDescent="0.25">
      <c r="Y596" s="167"/>
      <c r="Z596" s="168"/>
    </row>
    <row r="597" spans="25:26" s="78" customFormat="1" x14ac:dyDescent="0.25">
      <c r="Y597" s="167"/>
      <c r="Z597" s="168"/>
    </row>
    <row r="598" spans="25:26" s="78" customFormat="1" x14ac:dyDescent="0.25">
      <c r="Y598" s="167"/>
      <c r="Z598" s="168"/>
    </row>
    <row r="599" spans="25:26" s="78" customFormat="1" x14ac:dyDescent="0.25">
      <c r="Y599" s="167"/>
      <c r="Z599" s="168"/>
    </row>
    <row r="600" spans="25:26" s="78" customFormat="1" x14ac:dyDescent="0.25">
      <c r="Y600" s="167"/>
      <c r="Z600" s="168"/>
    </row>
    <row r="601" spans="25:26" s="78" customFormat="1" x14ac:dyDescent="0.25">
      <c r="Y601" s="167"/>
      <c r="Z601" s="168"/>
    </row>
    <row r="602" spans="25:26" s="78" customFormat="1" x14ac:dyDescent="0.25">
      <c r="Y602" s="167"/>
      <c r="Z602" s="168"/>
    </row>
    <row r="603" spans="25:26" s="78" customFormat="1" x14ac:dyDescent="0.25">
      <c r="Y603" s="167"/>
      <c r="Z603" s="168"/>
    </row>
    <row r="604" spans="25:26" s="78" customFormat="1" x14ac:dyDescent="0.25">
      <c r="Y604" s="167"/>
      <c r="Z604" s="168"/>
    </row>
    <row r="605" spans="25:26" s="78" customFormat="1" x14ac:dyDescent="0.25">
      <c r="Y605" s="167"/>
      <c r="Z605" s="168"/>
    </row>
    <row r="606" spans="25:26" s="78" customFormat="1" x14ac:dyDescent="0.25">
      <c r="Y606" s="167"/>
      <c r="Z606" s="168"/>
    </row>
    <row r="607" spans="25:26" s="78" customFormat="1" x14ac:dyDescent="0.25">
      <c r="Y607" s="167"/>
      <c r="Z607" s="168"/>
    </row>
    <row r="608" spans="25:26" s="78" customFormat="1" x14ac:dyDescent="0.25">
      <c r="Y608" s="167"/>
      <c r="Z608" s="168"/>
    </row>
    <row r="609" spans="25:26" s="78" customFormat="1" x14ac:dyDescent="0.25">
      <c r="Y609" s="167"/>
      <c r="Z609" s="168"/>
    </row>
    <row r="610" spans="25:26" s="78" customFormat="1" x14ac:dyDescent="0.25">
      <c r="Y610" s="167"/>
      <c r="Z610" s="168"/>
    </row>
    <row r="611" spans="25:26" s="78" customFormat="1" x14ac:dyDescent="0.25">
      <c r="Y611" s="167"/>
      <c r="Z611" s="168"/>
    </row>
    <row r="612" spans="25:26" s="78" customFormat="1" x14ac:dyDescent="0.25">
      <c r="Y612" s="167"/>
      <c r="Z612" s="168"/>
    </row>
    <row r="613" spans="25:26" s="78" customFormat="1" x14ac:dyDescent="0.25">
      <c r="Y613" s="167"/>
      <c r="Z613" s="168"/>
    </row>
    <row r="614" spans="25:26" s="78" customFormat="1" x14ac:dyDescent="0.25">
      <c r="Y614" s="167"/>
      <c r="Z614" s="168"/>
    </row>
    <row r="615" spans="25:26" s="78" customFormat="1" x14ac:dyDescent="0.25">
      <c r="Y615" s="167"/>
      <c r="Z615" s="168"/>
    </row>
    <row r="616" spans="25:26" s="78" customFormat="1" x14ac:dyDescent="0.25">
      <c r="Y616" s="167"/>
      <c r="Z616" s="168"/>
    </row>
    <row r="617" spans="25:26" s="78" customFormat="1" x14ac:dyDescent="0.25">
      <c r="Y617" s="167"/>
      <c r="Z617" s="168"/>
    </row>
    <row r="618" spans="25:26" s="78" customFormat="1" x14ac:dyDescent="0.25">
      <c r="Y618" s="167"/>
      <c r="Z618" s="168"/>
    </row>
    <row r="619" spans="25:26" s="78" customFormat="1" x14ac:dyDescent="0.25">
      <c r="Y619" s="167"/>
      <c r="Z619" s="168"/>
    </row>
    <row r="620" spans="25:26" s="78" customFormat="1" x14ac:dyDescent="0.25">
      <c r="Y620" s="167"/>
      <c r="Z620" s="168"/>
    </row>
    <row r="621" spans="25:26" s="78" customFormat="1" x14ac:dyDescent="0.25">
      <c r="Y621" s="167"/>
      <c r="Z621" s="168"/>
    </row>
    <row r="622" spans="25:26" s="78" customFormat="1" x14ac:dyDescent="0.25">
      <c r="Y622" s="167"/>
      <c r="Z622" s="168"/>
    </row>
    <row r="623" spans="25:26" s="78" customFormat="1" x14ac:dyDescent="0.25">
      <c r="Y623" s="167"/>
      <c r="Z623" s="168"/>
    </row>
    <row r="624" spans="25:26" s="78" customFormat="1" x14ac:dyDescent="0.25">
      <c r="Y624" s="167"/>
      <c r="Z624" s="168"/>
    </row>
    <row r="625" spans="25:26" s="78" customFormat="1" x14ac:dyDescent="0.25">
      <c r="Y625" s="167"/>
      <c r="Z625" s="168"/>
    </row>
    <row r="626" spans="25:26" s="78" customFormat="1" x14ac:dyDescent="0.25">
      <c r="Y626" s="167"/>
      <c r="Z626" s="168"/>
    </row>
    <row r="627" spans="25:26" s="78" customFormat="1" x14ac:dyDescent="0.25">
      <c r="Y627" s="167"/>
      <c r="Z627" s="168"/>
    </row>
    <row r="628" spans="25:26" s="78" customFormat="1" x14ac:dyDescent="0.25">
      <c r="Y628" s="167"/>
      <c r="Z628" s="168"/>
    </row>
    <row r="629" spans="25:26" s="78" customFormat="1" x14ac:dyDescent="0.25">
      <c r="Y629" s="167"/>
      <c r="Z629" s="168"/>
    </row>
    <row r="630" spans="25:26" s="78" customFormat="1" x14ac:dyDescent="0.25">
      <c r="Y630" s="167"/>
      <c r="Z630" s="168"/>
    </row>
    <row r="631" spans="25:26" s="78" customFormat="1" x14ac:dyDescent="0.25">
      <c r="Y631" s="167"/>
      <c r="Z631" s="168"/>
    </row>
    <row r="632" spans="25:26" s="78" customFormat="1" x14ac:dyDescent="0.25">
      <c r="Y632" s="167"/>
      <c r="Z632" s="168"/>
    </row>
    <row r="633" spans="25:26" s="78" customFormat="1" x14ac:dyDescent="0.25">
      <c r="Y633" s="167"/>
      <c r="Z633" s="168"/>
    </row>
    <row r="634" spans="25:26" s="78" customFormat="1" x14ac:dyDescent="0.25">
      <c r="Y634" s="167"/>
      <c r="Z634" s="168"/>
    </row>
    <row r="635" spans="25:26" s="78" customFormat="1" x14ac:dyDescent="0.25">
      <c r="Y635" s="167"/>
      <c r="Z635" s="168"/>
    </row>
    <row r="636" spans="25:26" s="78" customFormat="1" x14ac:dyDescent="0.25">
      <c r="Y636" s="167"/>
      <c r="Z636" s="168"/>
    </row>
    <row r="637" spans="25:26" s="78" customFormat="1" x14ac:dyDescent="0.25">
      <c r="Y637" s="167"/>
      <c r="Z637" s="168"/>
    </row>
    <row r="638" spans="25:26" s="78" customFormat="1" x14ac:dyDescent="0.25">
      <c r="Y638" s="167"/>
      <c r="Z638" s="168"/>
    </row>
    <row r="639" spans="25:26" s="78" customFormat="1" x14ac:dyDescent="0.25">
      <c r="Y639" s="167"/>
      <c r="Z639" s="168"/>
    </row>
    <row r="640" spans="25:26" s="78" customFormat="1" x14ac:dyDescent="0.25">
      <c r="Y640" s="167"/>
      <c r="Z640" s="168"/>
    </row>
    <row r="641" spans="25:26" s="78" customFormat="1" x14ac:dyDescent="0.25">
      <c r="Y641" s="167"/>
      <c r="Z641" s="168"/>
    </row>
    <row r="642" spans="25:26" s="78" customFormat="1" x14ac:dyDescent="0.25">
      <c r="Y642" s="167"/>
      <c r="Z642" s="168"/>
    </row>
    <row r="643" spans="25:26" s="78" customFormat="1" x14ac:dyDescent="0.25">
      <c r="Y643" s="167"/>
      <c r="Z643" s="168"/>
    </row>
    <row r="644" spans="25:26" s="78" customFormat="1" x14ac:dyDescent="0.25">
      <c r="Y644" s="167"/>
      <c r="Z644" s="168"/>
    </row>
    <row r="645" spans="25:26" s="78" customFormat="1" x14ac:dyDescent="0.25">
      <c r="Y645" s="167"/>
      <c r="Z645" s="168"/>
    </row>
    <row r="646" spans="25:26" s="78" customFormat="1" x14ac:dyDescent="0.25">
      <c r="Y646" s="167"/>
      <c r="Z646" s="168"/>
    </row>
    <row r="647" spans="25:26" s="78" customFormat="1" x14ac:dyDescent="0.25">
      <c r="Y647" s="167"/>
      <c r="Z647" s="168"/>
    </row>
    <row r="648" spans="25:26" s="78" customFormat="1" x14ac:dyDescent="0.25">
      <c r="Y648" s="167"/>
      <c r="Z648" s="168"/>
    </row>
    <row r="649" spans="25:26" s="78" customFormat="1" x14ac:dyDescent="0.25">
      <c r="Y649" s="167"/>
      <c r="Z649" s="168"/>
    </row>
    <row r="650" spans="25:26" s="78" customFormat="1" x14ac:dyDescent="0.25">
      <c r="Y650" s="167"/>
      <c r="Z650" s="168"/>
    </row>
    <row r="651" spans="25:26" s="78" customFormat="1" x14ac:dyDescent="0.25">
      <c r="Y651" s="167"/>
      <c r="Z651" s="168"/>
    </row>
    <row r="652" spans="25:26" s="78" customFormat="1" x14ac:dyDescent="0.25">
      <c r="Y652" s="167"/>
      <c r="Z652" s="168"/>
    </row>
    <row r="653" spans="25:26" s="78" customFormat="1" x14ac:dyDescent="0.25">
      <c r="Y653" s="167"/>
      <c r="Z653" s="168"/>
    </row>
    <row r="654" spans="25:26" s="78" customFormat="1" x14ac:dyDescent="0.25">
      <c r="Y654" s="167"/>
      <c r="Z654" s="168"/>
    </row>
    <row r="655" spans="25:26" s="78" customFormat="1" x14ac:dyDescent="0.25">
      <c r="Y655" s="167"/>
      <c r="Z655" s="168"/>
    </row>
    <row r="656" spans="25:26" s="78" customFormat="1" x14ac:dyDescent="0.25">
      <c r="Y656" s="167"/>
      <c r="Z656" s="168"/>
    </row>
    <row r="657" spans="25:26" s="78" customFormat="1" x14ac:dyDescent="0.25">
      <c r="Y657" s="167"/>
      <c r="Z657" s="168"/>
    </row>
    <row r="658" spans="25:26" s="78" customFormat="1" x14ac:dyDescent="0.25">
      <c r="Y658" s="167"/>
      <c r="Z658" s="168"/>
    </row>
    <row r="659" spans="25:26" s="78" customFormat="1" x14ac:dyDescent="0.25">
      <c r="Y659" s="167"/>
      <c r="Z659" s="168"/>
    </row>
    <row r="660" spans="25:26" s="78" customFormat="1" x14ac:dyDescent="0.25">
      <c r="Y660" s="167"/>
      <c r="Z660" s="168"/>
    </row>
    <row r="661" spans="25:26" s="78" customFormat="1" x14ac:dyDescent="0.25">
      <c r="Y661" s="167"/>
      <c r="Z661" s="168"/>
    </row>
    <row r="662" spans="25:26" s="78" customFormat="1" x14ac:dyDescent="0.25">
      <c r="Y662" s="167"/>
      <c r="Z662" s="168"/>
    </row>
    <row r="663" spans="25:26" s="78" customFormat="1" x14ac:dyDescent="0.25">
      <c r="Y663" s="167"/>
      <c r="Z663" s="168"/>
    </row>
    <row r="664" spans="25:26" s="78" customFormat="1" x14ac:dyDescent="0.25">
      <c r="Y664" s="167"/>
      <c r="Z664" s="168"/>
    </row>
    <row r="665" spans="25:26" s="78" customFormat="1" x14ac:dyDescent="0.25">
      <c r="Y665" s="167"/>
      <c r="Z665" s="168"/>
    </row>
    <row r="666" spans="25:26" s="78" customFormat="1" x14ac:dyDescent="0.25">
      <c r="Y666" s="167"/>
      <c r="Z666" s="168"/>
    </row>
    <row r="667" spans="25:26" s="78" customFormat="1" x14ac:dyDescent="0.25">
      <c r="Y667" s="167"/>
      <c r="Z667" s="168"/>
    </row>
    <row r="668" spans="25:26" s="78" customFormat="1" x14ac:dyDescent="0.25">
      <c r="Y668" s="167"/>
      <c r="Z668" s="168"/>
    </row>
    <row r="669" spans="25:26" s="78" customFormat="1" x14ac:dyDescent="0.25">
      <c r="Y669" s="167"/>
      <c r="Z669" s="168"/>
    </row>
    <row r="670" spans="25:26" s="78" customFormat="1" x14ac:dyDescent="0.25">
      <c r="Y670" s="167"/>
      <c r="Z670" s="168"/>
    </row>
    <row r="671" spans="25:26" s="78" customFormat="1" x14ac:dyDescent="0.25">
      <c r="Y671" s="167"/>
      <c r="Z671" s="168"/>
    </row>
    <row r="672" spans="25:26" s="78" customFormat="1" x14ac:dyDescent="0.25">
      <c r="Y672" s="167"/>
      <c r="Z672" s="168"/>
    </row>
    <row r="673" spans="25:26" s="78" customFormat="1" x14ac:dyDescent="0.25">
      <c r="Y673" s="167"/>
      <c r="Z673" s="168"/>
    </row>
    <row r="674" spans="25:26" s="78" customFormat="1" x14ac:dyDescent="0.25">
      <c r="Y674" s="167"/>
      <c r="Z674" s="168"/>
    </row>
    <row r="675" spans="25:26" s="78" customFormat="1" x14ac:dyDescent="0.25">
      <c r="Y675" s="167"/>
      <c r="Z675" s="168"/>
    </row>
    <row r="676" spans="25:26" s="78" customFormat="1" x14ac:dyDescent="0.25">
      <c r="Y676" s="167"/>
      <c r="Z676" s="168"/>
    </row>
    <row r="677" spans="25:26" s="78" customFormat="1" x14ac:dyDescent="0.25">
      <c r="Y677" s="167"/>
      <c r="Z677" s="168"/>
    </row>
    <row r="678" spans="25:26" s="78" customFormat="1" x14ac:dyDescent="0.25">
      <c r="Y678" s="167"/>
      <c r="Z678" s="168"/>
    </row>
    <row r="679" spans="25:26" s="78" customFormat="1" x14ac:dyDescent="0.25">
      <c r="Y679" s="167"/>
      <c r="Z679" s="168"/>
    </row>
    <row r="680" spans="25:26" s="78" customFormat="1" x14ac:dyDescent="0.25">
      <c r="Y680" s="167"/>
      <c r="Z680" s="168"/>
    </row>
    <row r="681" spans="25:26" s="78" customFormat="1" x14ac:dyDescent="0.25">
      <c r="Y681" s="167"/>
      <c r="Z681" s="168"/>
    </row>
    <row r="682" spans="25:26" s="78" customFormat="1" x14ac:dyDescent="0.25">
      <c r="Y682" s="167"/>
      <c r="Z682" s="168"/>
    </row>
    <row r="683" spans="25:26" s="78" customFormat="1" x14ac:dyDescent="0.25">
      <c r="Y683" s="167"/>
      <c r="Z683" s="168"/>
    </row>
    <row r="684" spans="25:26" s="78" customFormat="1" x14ac:dyDescent="0.25">
      <c r="Y684" s="167"/>
      <c r="Z684" s="168"/>
    </row>
    <row r="685" spans="25:26" s="78" customFormat="1" x14ac:dyDescent="0.25">
      <c r="Y685" s="167"/>
      <c r="Z685" s="168"/>
    </row>
    <row r="686" spans="25:26" s="78" customFormat="1" x14ac:dyDescent="0.25">
      <c r="Y686" s="167"/>
      <c r="Z686" s="168"/>
    </row>
    <row r="687" spans="25:26" s="78" customFormat="1" x14ac:dyDescent="0.25">
      <c r="Y687" s="167"/>
      <c r="Z687" s="168"/>
    </row>
    <row r="688" spans="25:26" s="78" customFormat="1" x14ac:dyDescent="0.25">
      <c r="Y688" s="167"/>
      <c r="Z688" s="168"/>
    </row>
    <row r="689" spans="25:26" s="78" customFormat="1" x14ac:dyDescent="0.25">
      <c r="Y689" s="167"/>
      <c r="Z689" s="168"/>
    </row>
    <row r="690" spans="25:26" s="78" customFormat="1" x14ac:dyDescent="0.25">
      <c r="Y690" s="167"/>
      <c r="Z690" s="168"/>
    </row>
    <row r="691" spans="25:26" s="78" customFormat="1" x14ac:dyDescent="0.25">
      <c r="Y691" s="167"/>
      <c r="Z691" s="168"/>
    </row>
    <row r="692" spans="25:26" s="78" customFormat="1" x14ac:dyDescent="0.25">
      <c r="Y692" s="167"/>
      <c r="Z692" s="168"/>
    </row>
    <row r="693" spans="25:26" s="78" customFormat="1" x14ac:dyDescent="0.25">
      <c r="Y693" s="167"/>
      <c r="Z693" s="168"/>
    </row>
    <row r="694" spans="25:26" s="78" customFormat="1" x14ac:dyDescent="0.25">
      <c r="Y694" s="167"/>
      <c r="Z694" s="168"/>
    </row>
    <row r="695" spans="25:26" s="78" customFormat="1" x14ac:dyDescent="0.25">
      <c r="Y695" s="167"/>
      <c r="Z695" s="168"/>
    </row>
    <row r="696" spans="25:26" s="78" customFormat="1" x14ac:dyDescent="0.25">
      <c r="Y696" s="167"/>
      <c r="Z696" s="168"/>
    </row>
    <row r="697" spans="25:26" s="78" customFormat="1" x14ac:dyDescent="0.25">
      <c r="Y697" s="167"/>
      <c r="Z697" s="168"/>
    </row>
    <row r="698" spans="25:26" s="78" customFormat="1" x14ac:dyDescent="0.25">
      <c r="Y698" s="167"/>
      <c r="Z698" s="168"/>
    </row>
    <row r="699" spans="25:26" s="78" customFormat="1" x14ac:dyDescent="0.25">
      <c r="Y699" s="167"/>
      <c r="Z699" s="168"/>
    </row>
    <row r="700" spans="25:26" s="78" customFormat="1" x14ac:dyDescent="0.25">
      <c r="Y700" s="167"/>
      <c r="Z700" s="168"/>
    </row>
    <row r="701" spans="25:26" s="78" customFormat="1" x14ac:dyDescent="0.25">
      <c r="Y701" s="167"/>
      <c r="Z701" s="168"/>
    </row>
    <row r="702" spans="25:26" s="78" customFormat="1" x14ac:dyDescent="0.25">
      <c r="Y702" s="167"/>
      <c r="Z702" s="168"/>
    </row>
    <row r="703" spans="25:26" s="78" customFormat="1" x14ac:dyDescent="0.25">
      <c r="Y703" s="167"/>
      <c r="Z703" s="168"/>
    </row>
    <row r="704" spans="25:26" s="78" customFormat="1" x14ac:dyDescent="0.25">
      <c r="Y704" s="167"/>
      <c r="Z704" s="168"/>
    </row>
    <row r="705" spans="25:26" s="78" customFormat="1" x14ac:dyDescent="0.25">
      <c r="Y705" s="167"/>
      <c r="Z705" s="168"/>
    </row>
    <row r="706" spans="25:26" s="78" customFormat="1" x14ac:dyDescent="0.25">
      <c r="Y706" s="167"/>
      <c r="Z706" s="168"/>
    </row>
    <row r="707" spans="25:26" s="78" customFormat="1" x14ac:dyDescent="0.25">
      <c r="Y707" s="167"/>
      <c r="Z707" s="168"/>
    </row>
    <row r="708" spans="25:26" s="78" customFormat="1" x14ac:dyDescent="0.25">
      <c r="Y708" s="167"/>
      <c r="Z708" s="168"/>
    </row>
    <row r="709" spans="25:26" s="78" customFormat="1" x14ac:dyDescent="0.25">
      <c r="Y709" s="167"/>
      <c r="Z709" s="168"/>
    </row>
    <row r="710" spans="25:26" s="78" customFormat="1" x14ac:dyDescent="0.25">
      <c r="Y710" s="167"/>
      <c r="Z710" s="168"/>
    </row>
    <row r="711" spans="25:26" s="78" customFormat="1" x14ac:dyDescent="0.25">
      <c r="Y711" s="167"/>
      <c r="Z711" s="168"/>
    </row>
    <row r="712" spans="25:26" s="78" customFormat="1" x14ac:dyDescent="0.25">
      <c r="Y712" s="167"/>
      <c r="Z712" s="168"/>
    </row>
    <row r="713" spans="25:26" s="78" customFormat="1" x14ac:dyDescent="0.25">
      <c r="Y713" s="167"/>
      <c r="Z713" s="168"/>
    </row>
    <row r="714" spans="25:26" s="78" customFormat="1" x14ac:dyDescent="0.25">
      <c r="Y714" s="167"/>
      <c r="Z714" s="168"/>
    </row>
    <row r="715" spans="25:26" s="78" customFormat="1" x14ac:dyDescent="0.25">
      <c r="Y715" s="167"/>
      <c r="Z715" s="168"/>
    </row>
    <row r="716" spans="25:26" s="78" customFormat="1" x14ac:dyDescent="0.25">
      <c r="Y716" s="167"/>
      <c r="Z716" s="168"/>
    </row>
    <row r="717" spans="25:26" s="78" customFormat="1" x14ac:dyDescent="0.25">
      <c r="Y717" s="167"/>
      <c r="Z717" s="168"/>
    </row>
    <row r="718" spans="25:26" s="78" customFormat="1" x14ac:dyDescent="0.25">
      <c r="Y718" s="167"/>
      <c r="Z718" s="168"/>
    </row>
    <row r="719" spans="25:26" s="78" customFormat="1" x14ac:dyDescent="0.25">
      <c r="Y719" s="167"/>
      <c r="Z719" s="168"/>
    </row>
    <row r="720" spans="25:26" s="78" customFormat="1" x14ac:dyDescent="0.25">
      <c r="Y720" s="167"/>
      <c r="Z720" s="168"/>
    </row>
    <row r="721" spans="25:26" s="78" customFormat="1" x14ac:dyDescent="0.25">
      <c r="Y721" s="167"/>
      <c r="Z721" s="168"/>
    </row>
    <row r="722" spans="25:26" s="78" customFormat="1" x14ac:dyDescent="0.25">
      <c r="Y722" s="167"/>
      <c r="Z722" s="168"/>
    </row>
    <row r="723" spans="25:26" s="78" customFormat="1" x14ac:dyDescent="0.25">
      <c r="Y723" s="167"/>
      <c r="Z723" s="168"/>
    </row>
    <row r="724" spans="25:26" s="78" customFormat="1" x14ac:dyDescent="0.25">
      <c r="Y724" s="167"/>
      <c r="Z724" s="168"/>
    </row>
    <row r="725" spans="25:26" s="78" customFormat="1" x14ac:dyDescent="0.25">
      <c r="Y725" s="167"/>
      <c r="Z725" s="168"/>
    </row>
    <row r="726" spans="25:26" s="78" customFormat="1" x14ac:dyDescent="0.25">
      <c r="Y726" s="167"/>
      <c r="Z726" s="168"/>
    </row>
    <row r="727" spans="25:26" s="78" customFormat="1" x14ac:dyDescent="0.25">
      <c r="Y727" s="167"/>
      <c r="Z727" s="168"/>
    </row>
    <row r="728" spans="25:26" s="78" customFormat="1" x14ac:dyDescent="0.25">
      <c r="Y728" s="167"/>
      <c r="Z728" s="168"/>
    </row>
    <row r="729" spans="25:26" s="78" customFormat="1" x14ac:dyDescent="0.25">
      <c r="Y729" s="167"/>
      <c r="Z729" s="168"/>
    </row>
    <row r="730" spans="25:26" s="78" customFormat="1" x14ac:dyDescent="0.25">
      <c r="Y730" s="167"/>
      <c r="Z730" s="168"/>
    </row>
    <row r="731" spans="25:26" s="78" customFormat="1" x14ac:dyDescent="0.25">
      <c r="Y731" s="167"/>
      <c r="Z731" s="168"/>
    </row>
    <row r="732" spans="25:26" s="78" customFormat="1" x14ac:dyDescent="0.25">
      <c r="Y732" s="167"/>
      <c r="Z732" s="168"/>
    </row>
    <row r="733" spans="25:26" s="78" customFormat="1" x14ac:dyDescent="0.25">
      <c r="Y733" s="167"/>
      <c r="Z733" s="168"/>
    </row>
    <row r="734" spans="25:26" s="78" customFormat="1" x14ac:dyDescent="0.25">
      <c r="Y734" s="167"/>
      <c r="Z734" s="168"/>
    </row>
    <row r="735" spans="25:26" s="78" customFormat="1" x14ac:dyDescent="0.25">
      <c r="Y735" s="167"/>
      <c r="Z735" s="168"/>
    </row>
    <row r="736" spans="25:26" s="78" customFormat="1" x14ac:dyDescent="0.25">
      <c r="Y736" s="167"/>
      <c r="Z736" s="168"/>
    </row>
    <row r="737" spans="25:26" s="78" customFormat="1" x14ac:dyDescent="0.25">
      <c r="Y737" s="167"/>
      <c r="Z737" s="168"/>
    </row>
    <row r="738" spans="25:26" s="78" customFormat="1" x14ac:dyDescent="0.25">
      <c r="Y738" s="167"/>
      <c r="Z738" s="168"/>
    </row>
    <row r="739" spans="25:26" s="78" customFormat="1" x14ac:dyDescent="0.25">
      <c r="Y739" s="167"/>
      <c r="Z739" s="168"/>
    </row>
    <row r="740" spans="25:26" s="78" customFormat="1" x14ac:dyDescent="0.25">
      <c r="Y740" s="167"/>
      <c r="Z740" s="168"/>
    </row>
    <row r="741" spans="25:26" s="78" customFormat="1" x14ac:dyDescent="0.25">
      <c r="Y741" s="167"/>
      <c r="Z741" s="168"/>
    </row>
    <row r="742" spans="25:26" s="78" customFormat="1" x14ac:dyDescent="0.25">
      <c r="Y742" s="167"/>
      <c r="Z742" s="168"/>
    </row>
    <row r="743" spans="25:26" s="78" customFormat="1" x14ac:dyDescent="0.25">
      <c r="Y743" s="167"/>
      <c r="Z743" s="168"/>
    </row>
    <row r="744" spans="25:26" s="78" customFormat="1" x14ac:dyDescent="0.25">
      <c r="Y744" s="167"/>
      <c r="Z744" s="168"/>
    </row>
    <row r="745" spans="25:26" s="78" customFormat="1" x14ac:dyDescent="0.25">
      <c r="Y745" s="167"/>
      <c r="Z745" s="168"/>
    </row>
    <row r="746" spans="25:26" s="78" customFormat="1" x14ac:dyDescent="0.25">
      <c r="Y746" s="167"/>
      <c r="Z746" s="168"/>
    </row>
    <row r="747" spans="25:26" s="78" customFormat="1" x14ac:dyDescent="0.25">
      <c r="Y747" s="167"/>
      <c r="Z747" s="168"/>
    </row>
    <row r="748" spans="25:26" s="78" customFormat="1" x14ac:dyDescent="0.25">
      <c r="Y748" s="167"/>
      <c r="Z748" s="168"/>
    </row>
    <row r="749" spans="25:26" s="78" customFormat="1" x14ac:dyDescent="0.25">
      <c r="Y749" s="167"/>
      <c r="Z749" s="168"/>
    </row>
    <row r="750" spans="25:26" s="78" customFormat="1" x14ac:dyDescent="0.25">
      <c r="Y750" s="167"/>
      <c r="Z750" s="168"/>
    </row>
    <row r="751" spans="25:26" s="78" customFormat="1" x14ac:dyDescent="0.25">
      <c r="Y751" s="167"/>
      <c r="Z751" s="168"/>
    </row>
    <row r="752" spans="25:26" s="78" customFormat="1" x14ac:dyDescent="0.25">
      <c r="Y752" s="167"/>
      <c r="Z752" s="168"/>
    </row>
    <row r="753" spans="25:26" s="78" customFormat="1" x14ac:dyDescent="0.25">
      <c r="Y753" s="167"/>
      <c r="Z753" s="168"/>
    </row>
    <row r="754" spans="25:26" s="78" customFormat="1" x14ac:dyDescent="0.25">
      <c r="Y754" s="167"/>
      <c r="Z754" s="168"/>
    </row>
    <row r="755" spans="25:26" s="78" customFormat="1" x14ac:dyDescent="0.25">
      <c r="Y755" s="167"/>
      <c r="Z755" s="168"/>
    </row>
    <row r="756" spans="25:26" s="78" customFormat="1" x14ac:dyDescent="0.25">
      <c r="Y756" s="167"/>
      <c r="Z756" s="168"/>
    </row>
    <row r="757" spans="25:26" s="78" customFormat="1" x14ac:dyDescent="0.25">
      <c r="Y757" s="167"/>
      <c r="Z757" s="168"/>
    </row>
    <row r="758" spans="25:26" s="78" customFormat="1" x14ac:dyDescent="0.25">
      <c r="Y758" s="167"/>
      <c r="Z758" s="168"/>
    </row>
    <row r="759" spans="25:26" s="78" customFormat="1" x14ac:dyDescent="0.25">
      <c r="Y759" s="167"/>
      <c r="Z759" s="168"/>
    </row>
    <row r="760" spans="25:26" s="78" customFormat="1" x14ac:dyDescent="0.25">
      <c r="Y760" s="167"/>
      <c r="Z760" s="168"/>
    </row>
    <row r="761" spans="25:26" s="78" customFormat="1" x14ac:dyDescent="0.25">
      <c r="Y761" s="167"/>
      <c r="Z761" s="168"/>
    </row>
    <row r="762" spans="25:26" s="78" customFormat="1" x14ac:dyDescent="0.25">
      <c r="Y762" s="167"/>
      <c r="Z762" s="168"/>
    </row>
    <row r="763" spans="25:26" s="78" customFormat="1" x14ac:dyDescent="0.25">
      <c r="Y763" s="167"/>
      <c r="Z763" s="168"/>
    </row>
    <row r="764" spans="25:26" s="78" customFormat="1" x14ac:dyDescent="0.25">
      <c r="Y764" s="167"/>
      <c r="Z764" s="168"/>
    </row>
    <row r="765" spans="25:26" s="78" customFormat="1" x14ac:dyDescent="0.25">
      <c r="Y765" s="167"/>
      <c r="Z765" s="168"/>
    </row>
    <row r="766" spans="25:26" s="78" customFormat="1" x14ac:dyDescent="0.25">
      <c r="Y766" s="167"/>
      <c r="Z766" s="168"/>
    </row>
    <row r="767" spans="25:26" s="78" customFormat="1" x14ac:dyDescent="0.25">
      <c r="Y767" s="167"/>
      <c r="Z767" s="168"/>
    </row>
    <row r="768" spans="25:26" s="78" customFormat="1" x14ac:dyDescent="0.25">
      <c r="Y768" s="167"/>
      <c r="Z768" s="168"/>
    </row>
    <row r="769" spans="25:26" s="78" customFormat="1" x14ac:dyDescent="0.25">
      <c r="Y769" s="167"/>
      <c r="Z769" s="168"/>
    </row>
    <row r="770" spans="25:26" s="78" customFormat="1" x14ac:dyDescent="0.25">
      <c r="Y770" s="167"/>
      <c r="Z770" s="168"/>
    </row>
    <row r="771" spans="25:26" s="78" customFormat="1" x14ac:dyDescent="0.25">
      <c r="Y771" s="167"/>
      <c r="Z771" s="168"/>
    </row>
    <row r="772" spans="25:26" s="78" customFormat="1" x14ac:dyDescent="0.25">
      <c r="Y772" s="167"/>
      <c r="Z772" s="168"/>
    </row>
    <row r="773" spans="25:26" s="78" customFormat="1" x14ac:dyDescent="0.25">
      <c r="Y773" s="167"/>
      <c r="Z773" s="168"/>
    </row>
    <row r="774" spans="25:26" s="78" customFormat="1" x14ac:dyDescent="0.25">
      <c r="Y774" s="167"/>
      <c r="Z774" s="168"/>
    </row>
    <row r="775" spans="25:26" s="78" customFormat="1" x14ac:dyDescent="0.25">
      <c r="Y775" s="167"/>
      <c r="Z775" s="168"/>
    </row>
    <row r="776" spans="25:26" s="78" customFormat="1" x14ac:dyDescent="0.25">
      <c r="Y776" s="167"/>
      <c r="Z776" s="168"/>
    </row>
    <row r="777" spans="25:26" s="78" customFormat="1" x14ac:dyDescent="0.25">
      <c r="Y777" s="167"/>
      <c r="Z777" s="168"/>
    </row>
    <row r="778" spans="25:26" s="78" customFormat="1" x14ac:dyDescent="0.25">
      <c r="Y778" s="167"/>
      <c r="Z778" s="168"/>
    </row>
    <row r="779" spans="25:26" s="78" customFormat="1" x14ac:dyDescent="0.25">
      <c r="Y779" s="167"/>
      <c r="Z779" s="168"/>
    </row>
    <row r="780" spans="25:26" s="78" customFormat="1" x14ac:dyDescent="0.25">
      <c r="Y780" s="167"/>
      <c r="Z780" s="168"/>
    </row>
    <row r="781" spans="25:26" s="78" customFormat="1" x14ac:dyDescent="0.25">
      <c r="Y781" s="167"/>
      <c r="Z781" s="168"/>
    </row>
    <row r="782" spans="25:26" s="78" customFormat="1" x14ac:dyDescent="0.25">
      <c r="Y782" s="167"/>
      <c r="Z782" s="168"/>
    </row>
    <row r="783" spans="25:26" s="78" customFormat="1" x14ac:dyDescent="0.25">
      <c r="Y783" s="167"/>
      <c r="Z783" s="168"/>
    </row>
    <row r="784" spans="25:26" s="78" customFormat="1" x14ac:dyDescent="0.25">
      <c r="Y784" s="167"/>
      <c r="Z784" s="168"/>
    </row>
    <row r="785" spans="25:26" s="78" customFormat="1" x14ac:dyDescent="0.25">
      <c r="Y785" s="167"/>
      <c r="Z785" s="168"/>
    </row>
    <row r="786" spans="25:26" s="78" customFormat="1" x14ac:dyDescent="0.25">
      <c r="Y786" s="167"/>
      <c r="Z786" s="168"/>
    </row>
    <row r="787" spans="25:26" s="78" customFormat="1" x14ac:dyDescent="0.25">
      <c r="Y787" s="167"/>
      <c r="Z787" s="168"/>
    </row>
    <row r="788" spans="25:26" s="78" customFormat="1" x14ac:dyDescent="0.25">
      <c r="Y788" s="167"/>
      <c r="Z788" s="168"/>
    </row>
    <row r="789" spans="25:26" s="78" customFormat="1" x14ac:dyDescent="0.25">
      <c r="Y789" s="167"/>
      <c r="Z789" s="168"/>
    </row>
    <row r="790" spans="25:26" s="78" customFormat="1" x14ac:dyDescent="0.25">
      <c r="Y790" s="167"/>
      <c r="Z790" s="168"/>
    </row>
    <row r="791" spans="25:26" s="78" customFormat="1" x14ac:dyDescent="0.25">
      <c r="Y791" s="167"/>
      <c r="Z791" s="168"/>
    </row>
    <row r="792" spans="25:26" s="78" customFormat="1" x14ac:dyDescent="0.25">
      <c r="Y792" s="167"/>
      <c r="Z792" s="168"/>
    </row>
    <row r="793" spans="25:26" s="78" customFormat="1" x14ac:dyDescent="0.25">
      <c r="Y793" s="167"/>
      <c r="Z793" s="168"/>
    </row>
    <row r="794" spans="25:26" s="78" customFormat="1" x14ac:dyDescent="0.25">
      <c r="Y794" s="167"/>
      <c r="Z794" s="168"/>
    </row>
    <row r="795" spans="25:26" s="78" customFormat="1" x14ac:dyDescent="0.25">
      <c r="Y795" s="167"/>
      <c r="Z795" s="168"/>
    </row>
    <row r="796" spans="25:26" s="78" customFormat="1" x14ac:dyDescent="0.25">
      <c r="Y796" s="167"/>
      <c r="Z796" s="168"/>
    </row>
    <row r="797" spans="25:26" s="78" customFormat="1" x14ac:dyDescent="0.25">
      <c r="Y797" s="167"/>
      <c r="Z797" s="168"/>
    </row>
    <row r="798" spans="25:26" s="78" customFormat="1" x14ac:dyDescent="0.25">
      <c r="Y798" s="167"/>
      <c r="Z798" s="168"/>
    </row>
    <row r="799" spans="25:26" s="78" customFormat="1" x14ac:dyDescent="0.25">
      <c r="Y799" s="167"/>
      <c r="Z799" s="168"/>
    </row>
    <row r="800" spans="25:26" s="78" customFormat="1" x14ac:dyDescent="0.25">
      <c r="Y800" s="167"/>
      <c r="Z800" s="168"/>
    </row>
    <row r="801" spans="25:26" s="78" customFormat="1" x14ac:dyDescent="0.25">
      <c r="Y801" s="167"/>
      <c r="Z801" s="168"/>
    </row>
    <row r="802" spans="25:26" s="78" customFormat="1" x14ac:dyDescent="0.25">
      <c r="Y802" s="167"/>
      <c r="Z802" s="168"/>
    </row>
    <row r="803" spans="25:26" s="78" customFormat="1" x14ac:dyDescent="0.25">
      <c r="Y803" s="167"/>
      <c r="Z803" s="168"/>
    </row>
    <row r="804" spans="25:26" s="78" customFormat="1" x14ac:dyDescent="0.25">
      <c r="Y804" s="167"/>
      <c r="Z804" s="168"/>
    </row>
    <row r="805" spans="25:26" s="78" customFormat="1" x14ac:dyDescent="0.25">
      <c r="Y805" s="167"/>
      <c r="Z805" s="168"/>
    </row>
    <row r="806" spans="25:26" s="78" customFormat="1" x14ac:dyDescent="0.25">
      <c r="Y806" s="167"/>
      <c r="Z806" s="168"/>
    </row>
    <row r="807" spans="25:26" s="78" customFormat="1" x14ac:dyDescent="0.25">
      <c r="Y807" s="167"/>
      <c r="Z807" s="168"/>
    </row>
    <row r="808" spans="25:26" s="78" customFormat="1" x14ac:dyDescent="0.25">
      <c r="Y808" s="167"/>
      <c r="Z808" s="168"/>
    </row>
    <row r="809" spans="25:26" s="78" customFormat="1" x14ac:dyDescent="0.25">
      <c r="Y809" s="167"/>
      <c r="Z809" s="168"/>
    </row>
    <row r="810" spans="25:26" s="78" customFormat="1" x14ac:dyDescent="0.25">
      <c r="Y810" s="167"/>
      <c r="Z810" s="168"/>
    </row>
    <row r="811" spans="25:26" s="78" customFormat="1" x14ac:dyDescent="0.25">
      <c r="Y811" s="167"/>
      <c r="Z811" s="168"/>
    </row>
    <row r="812" spans="25:26" s="78" customFormat="1" x14ac:dyDescent="0.25">
      <c r="Y812" s="167"/>
      <c r="Z812" s="168"/>
    </row>
    <row r="813" spans="25:26" s="78" customFormat="1" x14ac:dyDescent="0.25">
      <c r="Y813" s="167"/>
      <c r="Z813" s="168"/>
    </row>
    <row r="814" spans="25:26" s="78" customFormat="1" x14ac:dyDescent="0.25">
      <c r="Y814" s="167"/>
      <c r="Z814" s="168"/>
    </row>
    <row r="815" spans="25:26" s="78" customFormat="1" x14ac:dyDescent="0.25">
      <c r="Y815" s="167"/>
      <c r="Z815" s="168"/>
    </row>
    <row r="816" spans="25:26" s="78" customFormat="1" x14ac:dyDescent="0.25">
      <c r="Y816" s="167"/>
      <c r="Z816" s="168"/>
    </row>
    <row r="817" spans="25:26" s="78" customFormat="1" x14ac:dyDescent="0.25">
      <c r="Y817" s="167"/>
      <c r="Z817" s="168"/>
    </row>
    <row r="818" spans="25:26" s="78" customFormat="1" x14ac:dyDescent="0.25">
      <c r="Y818" s="167"/>
      <c r="Z818" s="168"/>
    </row>
    <row r="819" spans="25:26" s="78" customFormat="1" x14ac:dyDescent="0.25">
      <c r="Y819" s="167"/>
      <c r="Z819" s="168"/>
    </row>
    <row r="820" spans="25:26" s="78" customFormat="1" x14ac:dyDescent="0.25">
      <c r="Y820" s="167"/>
      <c r="Z820" s="168"/>
    </row>
    <row r="821" spans="25:26" s="78" customFormat="1" x14ac:dyDescent="0.25">
      <c r="Y821" s="167"/>
      <c r="Z821" s="168"/>
    </row>
    <row r="822" spans="25:26" s="78" customFormat="1" x14ac:dyDescent="0.25">
      <c r="Y822" s="167"/>
      <c r="Z822" s="168"/>
    </row>
    <row r="823" spans="25:26" s="78" customFormat="1" x14ac:dyDescent="0.25">
      <c r="Y823" s="167"/>
      <c r="Z823" s="168"/>
    </row>
    <row r="824" spans="25:26" s="78" customFormat="1" x14ac:dyDescent="0.25">
      <c r="Y824" s="167"/>
      <c r="Z824" s="168"/>
    </row>
    <row r="825" spans="25:26" s="78" customFormat="1" x14ac:dyDescent="0.25">
      <c r="Y825" s="167"/>
      <c r="Z825" s="168"/>
    </row>
  </sheetData>
  <sheetProtection password="CF6E" sheet="1" objects="1" scenarios="1"/>
  <mergeCells count="1063">
    <mergeCell ref="K417:P417"/>
    <mergeCell ref="K156:L156"/>
    <mergeCell ref="L212:M212"/>
    <mergeCell ref="O350:P350"/>
    <mergeCell ref="N212:O212"/>
    <mergeCell ref="M156:N156"/>
    <mergeCell ref="Q387:R387"/>
    <mergeCell ref="S387:T387"/>
    <mergeCell ref="M300:N300"/>
    <mergeCell ref="O300:P300"/>
    <mergeCell ref="K307:P307"/>
    <mergeCell ref="K308:P308"/>
    <mergeCell ref="K309:P309"/>
    <mergeCell ref="K336:L336"/>
    <mergeCell ref="M336:N336"/>
    <mergeCell ref="O336:P336"/>
    <mergeCell ref="K343:P343"/>
    <mergeCell ref="K372:L372"/>
    <mergeCell ref="M372:N372"/>
    <mergeCell ref="O372:P372"/>
    <mergeCell ref="K379:P379"/>
    <mergeCell ref="K380:P380"/>
    <mergeCell ref="K381:P381"/>
    <mergeCell ref="R163:U165"/>
    <mergeCell ref="R199:U201"/>
    <mergeCell ref="R235:U237"/>
    <mergeCell ref="R271:U273"/>
    <mergeCell ref="R307:U309"/>
    <mergeCell ref="R343:U345"/>
    <mergeCell ref="R379:U381"/>
    <mergeCell ref="R415:U417"/>
    <mergeCell ref="S323:T323"/>
    <mergeCell ref="K62:L62"/>
    <mergeCell ref="L69:M69"/>
    <mergeCell ref="M349:N349"/>
    <mergeCell ref="M350:N350"/>
    <mergeCell ref="Q385:R385"/>
    <mergeCell ref="S385:T385"/>
    <mergeCell ref="O386:P386"/>
    <mergeCell ref="Q386:R386"/>
    <mergeCell ref="S386:T386"/>
    <mergeCell ref="K235:P235"/>
    <mergeCell ref="K236:P236"/>
    <mergeCell ref="K237:P237"/>
    <mergeCell ref="K415:P415"/>
    <mergeCell ref="K416:P416"/>
    <mergeCell ref="O349:P349"/>
    <mergeCell ref="K408:L408"/>
    <mergeCell ref="M408:N408"/>
    <mergeCell ref="O408:P408"/>
    <mergeCell ref="K344:P344"/>
    <mergeCell ref="K345:P345"/>
    <mergeCell ref="M351:N351"/>
    <mergeCell ref="O243:P243"/>
    <mergeCell ref="M264:N264"/>
    <mergeCell ref="S241:T241"/>
    <mergeCell ref="O242:P242"/>
    <mergeCell ref="Q242:R242"/>
    <mergeCell ref="K63:L63"/>
    <mergeCell ref="J104:K104"/>
    <mergeCell ref="L104:M104"/>
    <mergeCell ref="S359:T359"/>
    <mergeCell ref="S193:U198"/>
    <mergeCell ref="S301:U306"/>
    <mergeCell ref="AA66:AD66"/>
    <mergeCell ref="AA67:AD67"/>
    <mergeCell ref="AA68:AD68"/>
    <mergeCell ref="AA69:AD69"/>
    <mergeCell ref="AA70:AD70"/>
    <mergeCell ref="AA71:AD71"/>
    <mergeCell ref="AA104:AD104"/>
    <mergeCell ref="AA105:AD105"/>
    <mergeCell ref="AA106:AD106"/>
    <mergeCell ref="AA107:AD107"/>
    <mergeCell ref="AA108:AD108"/>
    <mergeCell ref="AA109:AD109"/>
    <mergeCell ref="AA110:AD110"/>
    <mergeCell ref="Z27:AB27"/>
    <mergeCell ref="R91:U93"/>
    <mergeCell ref="R127:U129"/>
    <mergeCell ref="AA111:AD111"/>
    <mergeCell ref="AA72:AD72"/>
    <mergeCell ref="AA73:AD73"/>
    <mergeCell ref="AA74:AD74"/>
    <mergeCell ref="AA75:AD75"/>
    <mergeCell ref="AA76:AD76"/>
    <mergeCell ref="AA77:AD77"/>
    <mergeCell ref="AA78:AD78"/>
    <mergeCell ref="AA80:AD80"/>
    <mergeCell ref="S157:U162"/>
    <mergeCell ref="AA101:AD101"/>
    <mergeCell ref="S277:T277"/>
    <mergeCell ref="S35:T35"/>
    <mergeCell ref="O71:R71"/>
    <mergeCell ref="S71:T71"/>
    <mergeCell ref="O264:P264"/>
    <mergeCell ref="N64:O64"/>
    <mergeCell ref="S49:U54"/>
    <mergeCell ref="S85:U90"/>
    <mergeCell ref="S61:T61"/>
    <mergeCell ref="O63:P63"/>
    <mergeCell ref="Q63:R63"/>
    <mergeCell ref="N69:O69"/>
    <mergeCell ref="U99:V99"/>
    <mergeCell ref="M61:N61"/>
    <mergeCell ref="M62:N62"/>
    <mergeCell ref="M63:N63"/>
    <mergeCell ref="Q61:R61"/>
    <mergeCell ref="S63:T63"/>
    <mergeCell ref="Q97:R97"/>
    <mergeCell ref="S97:T97"/>
    <mergeCell ref="O98:P98"/>
    <mergeCell ref="Q98:R98"/>
    <mergeCell ref="S98:T98"/>
    <mergeCell ref="O99:P99"/>
    <mergeCell ref="Q99:R99"/>
    <mergeCell ref="S99:T99"/>
    <mergeCell ref="Q133:R133"/>
    <mergeCell ref="AA185:AD185"/>
    <mergeCell ref="Z265:AB265"/>
    <mergeCell ref="AA65:AD65"/>
    <mergeCell ref="K84:L84"/>
    <mergeCell ref="M84:N84"/>
    <mergeCell ref="O84:P84"/>
    <mergeCell ref="K91:P91"/>
    <mergeCell ref="K92:P92"/>
    <mergeCell ref="K93:P93"/>
    <mergeCell ref="K120:L120"/>
    <mergeCell ref="J136:K136"/>
    <mergeCell ref="M97:N97"/>
    <mergeCell ref="S107:T107"/>
    <mergeCell ref="K94:M94"/>
    <mergeCell ref="N94:P94"/>
    <mergeCell ref="L100:M100"/>
    <mergeCell ref="N100:O100"/>
    <mergeCell ref="G83:I83"/>
    <mergeCell ref="C119:F119"/>
    <mergeCell ref="G119:I119"/>
    <mergeCell ref="K133:L133"/>
    <mergeCell ref="C134:D134"/>
    <mergeCell ref="E134:F134"/>
    <mergeCell ref="G134:H134"/>
    <mergeCell ref="I134:J134"/>
    <mergeCell ref="K134:L134"/>
    <mergeCell ref="M133:N133"/>
    <mergeCell ref="M134:N134"/>
    <mergeCell ref="M135:N135"/>
    <mergeCell ref="H104:I104"/>
    <mergeCell ref="C155:F155"/>
    <mergeCell ref="G155:I155"/>
    <mergeCell ref="C191:F191"/>
    <mergeCell ref="G191:I191"/>
    <mergeCell ref="O170:P170"/>
    <mergeCell ref="O143:R143"/>
    <mergeCell ref="S143:T143"/>
    <mergeCell ref="Q206:R206"/>
    <mergeCell ref="S206:T206"/>
    <mergeCell ref="M120:N120"/>
    <mergeCell ref="O120:P120"/>
    <mergeCell ref="K127:P127"/>
    <mergeCell ref="S170:T170"/>
    <mergeCell ref="O97:P97"/>
    <mergeCell ref="J100:K100"/>
    <mergeCell ref="S133:T133"/>
    <mergeCell ref="Q134:R134"/>
    <mergeCell ref="L136:M136"/>
    <mergeCell ref="K192:L192"/>
    <mergeCell ref="M192:N192"/>
    <mergeCell ref="O192:P192"/>
    <mergeCell ref="O133:P133"/>
    <mergeCell ref="O135:P135"/>
    <mergeCell ref="L140:M140"/>
    <mergeCell ref="O169:P169"/>
    <mergeCell ref="O134:P134"/>
    <mergeCell ref="C133:D133"/>
    <mergeCell ref="K128:P128"/>
    <mergeCell ref="K129:P129"/>
    <mergeCell ref="E133:F133"/>
    <mergeCell ref="G133:H133"/>
    <mergeCell ref="I133:J133"/>
    <mergeCell ref="Z409:AB409"/>
    <mergeCell ref="O156:P156"/>
    <mergeCell ref="K163:P163"/>
    <mergeCell ref="K164:P164"/>
    <mergeCell ref="K165:P165"/>
    <mergeCell ref="AA102:AD102"/>
    <mergeCell ref="AA103:AD103"/>
    <mergeCell ref="S134:T134"/>
    <mergeCell ref="Q350:R350"/>
    <mergeCell ref="S350:T350"/>
    <mergeCell ref="O323:R323"/>
    <mergeCell ref="N284:O284"/>
    <mergeCell ref="O287:R287"/>
    <mergeCell ref="S287:T287"/>
    <mergeCell ref="K264:L264"/>
    <mergeCell ref="AA218:AD218"/>
    <mergeCell ref="K199:P199"/>
    <mergeCell ref="K200:P200"/>
    <mergeCell ref="K201:P201"/>
    <mergeCell ref="K228:L228"/>
    <mergeCell ref="M228:N228"/>
    <mergeCell ref="O228:P228"/>
    <mergeCell ref="N104:O104"/>
    <mergeCell ref="O107:R107"/>
    <mergeCell ref="Q135:R135"/>
    <mergeCell ref="AA292:AD292"/>
    <mergeCell ref="AA293:AD293"/>
    <mergeCell ref="U315:V315"/>
    <mergeCell ref="O207:P207"/>
    <mergeCell ref="AA294:AD294"/>
    <mergeCell ref="AA317:AD317"/>
    <mergeCell ref="Q207:R207"/>
    <mergeCell ref="Q279:R279"/>
    <mergeCell ref="S279:T279"/>
    <mergeCell ref="Q313:R313"/>
    <mergeCell ref="S313:T313"/>
    <mergeCell ref="O314:P314"/>
    <mergeCell ref="Q314:R314"/>
    <mergeCell ref="S314:T314"/>
    <mergeCell ref="Q315:R315"/>
    <mergeCell ref="S315:T315"/>
    <mergeCell ref="O351:P351"/>
    <mergeCell ref="S349:T349"/>
    <mergeCell ref="S351:T351"/>
    <mergeCell ref="AA257:AD257"/>
    <mergeCell ref="AA222:AD222"/>
    <mergeCell ref="AA245:AD245"/>
    <mergeCell ref="AA246:AD246"/>
    <mergeCell ref="AA247:AD247"/>
    <mergeCell ref="Q277:R277"/>
    <mergeCell ref="Z337:AB337"/>
    <mergeCell ref="AA318:AD318"/>
    <mergeCell ref="AA319:AD319"/>
    <mergeCell ref="Q243:R243"/>
    <mergeCell ref="S243:T243"/>
    <mergeCell ref="S242:T242"/>
    <mergeCell ref="Q278:R278"/>
    <mergeCell ref="U242:V242"/>
    <mergeCell ref="AA283:AD283"/>
    <mergeCell ref="AA329:AD329"/>
    <mergeCell ref="AA248:AD248"/>
    <mergeCell ref="AA325:AD325"/>
    <mergeCell ref="AA252:AD252"/>
    <mergeCell ref="AA253:AD253"/>
    <mergeCell ref="C71:F71"/>
    <mergeCell ref="G71:J71"/>
    <mergeCell ref="K71:N71"/>
    <mergeCell ref="N68:O68"/>
    <mergeCell ref="D69:E69"/>
    <mergeCell ref="F69:G69"/>
    <mergeCell ref="H69:I69"/>
    <mergeCell ref="C99:D99"/>
    <mergeCell ref="E99:F99"/>
    <mergeCell ref="G99:H99"/>
    <mergeCell ref="I99:J99"/>
    <mergeCell ref="O395:R395"/>
    <mergeCell ref="N176:O176"/>
    <mergeCell ref="N248:O248"/>
    <mergeCell ref="N320:O320"/>
    <mergeCell ref="H355:I355"/>
    <mergeCell ref="J355:K355"/>
    <mergeCell ref="L355:M355"/>
    <mergeCell ref="N355:O355"/>
    <mergeCell ref="O359:R359"/>
    <mergeCell ref="D100:E100"/>
    <mergeCell ref="F100:G100"/>
    <mergeCell ref="J69:K69"/>
    <mergeCell ref="K99:L99"/>
    <mergeCell ref="C135:D135"/>
    <mergeCell ref="E135:F135"/>
    <mergeCell ref="G135:H135"/>
    <mergeCell ref="I135:J135"/>
    <mergeCell ref="K135:L135"/>
    <mergeCell ref="D136:E136"/>
    <mergeCell ref="F136:G136"/>
    <mergeCell ref="H136:I136"/>
    <mergeCell ref="A70:B70"/>
    <mergeCell ref="O179:R179"/>
    <mergeCell ref="Q351:R351"/>
    <mergeCell ref="N392:O392"/>
    <mergeCell ref="N140:O140"/>
    <mergeCell ref="O171:P171"/>
    <mergeCell ref="M386:N386"/>
    <mergeCell ref="M387:N387"/>
    <mergeCell ref="M98:N98"/>
    <mergeCell ref="M99:N99"/>
    <mergeCell ref="Q205:R205"/>
    <mergeCell ref="O206:P206"/>
    <mergeCell ref="Q170:R170"/>
    <mergeCell ref="O241:P241"/>
    <mergeCell ref="Q241:R241"/>
    <mergeCell ref="Q171:R171"/>
    <mergeCell ref="A29:B33"/>
    <mergeCell ref="N29:O29"/>
    <mergeCell ref="N31:O31"/>
    <mergeCell ref="N32:O32"/>
    <mergeCell ref="N33:O33"/>
    <mergeCell ref="D29:E29"/>
    <mergeCell ref="F33:G33"/>
    <mergeCell ref="L31:M31"/>
    <mergeCell ref="L32:M32"/>
    <mergeCell ref="L33:M33"/>
    <mergeCell ref="D64:E64"/>
    <mergeCell ref="F64:G64"/>
    <mergeCell ref="H64:I64"/>
    <mergeCell ref="J64:K64"/>
    <mergeCell ref="L64:M64"/>
    <mergeCell ref="C63:D63"/>
    <mergeCell ref="C25:D25"/>
    <mergeCell ref="E25:F25"/>
    <mergeCell ref="G25:H25"/>
    <mergeCell ref="I25:J25"/>
    <mergeCell ref="K25:L25"/>
    <mergeCell ref="H29:I29"/>
    <mergeCell ref="H30:I30"/>
    <mergeCell ref="F30:G30"/>
    <mergeCell ref="C26:D26"/>
    <mergeCell ref="E26:F26"/>
    <mergeCell ref="D28:E28"/>
    <mergeCell ref="F28:G28"/>
    <mergeCell ref="H28:I28"/>
    <mergeCell ref="E27:F27"/>
    <mergeCell ref="K26:L26"/>
    <mergeCell ref="J28:K28"/>
    <mergeCell ref="J30:K30"/>
    <mergeCell ref="G26:H26"/>
    <mergeCell ref="I26:J26"/>
    <mergeCell ref="C27:D27"/>
    <mergeCell ref="L28:M28"/>
    <mergeCell ref="M25:N25"/>
    <mergeCell ref="M26:N26"/>
    <mergeCell ref="N28:O28"/>
    <mergeCell ref="J29:K29"/>
    <mergeCell ref="G27:H27"/>
    <mergeCell ref="F29:G29"/>
    <mergeCell ref="K27:L27"/>
    <mergeCell ref="I27:J27"/>
    <mergeCell ref="D30:E30"/>
    <mergeCell ref="L29:M29"/>
    <mergeCell ref="M27:N27"/>
    <mergeCell ref="E63:F63"/>
    <mergeCell ref="G63:H63"/>
    <mergeCell ref="G35:J35"/>
    <mergeCell ref="K48:L48"/>
    <mergeCell ref="M48:N48"/>
    <mergeCell ref="N30:O30"/>
    <mergeCell ref="L30:M30"/>
    <mergeCell ref="K55:P55"/>
    <mergeCell ref="K56:P56"/>
    <mergeCell ref="K57:P57"/>
    <mergeCell ref="O61:P61"/>
    <mergeCell ref="A34:B34"/>
    <mergeCell ref="C47:F47"/>
    <mergeCell ref="G47:I47"/>
    <mergeCell ref="D68:E68"/>
    <mergeCell ref="F68:G68"/>
    <mergeCell ref="H68:I68"/>
    <mergeCell ref="J68:K68"/>
    <mergeCell ref="L68:M68"/>
    <mergeCell ref="A65:B69"/>
    <mergeCell ref="N66:O66"/>
    <mergeCell ref="D67:E67"/>
    <mergeCell ref="F67:G67"/>
    <mergeCell ref="H67:I67"/>
    <mergeCell ref="J67:K67"/>
    <mergeCell ref="L67:M67"/>
    <mergeCell ref="N67:O67"/>
    <mergeCell ref="D66:E66"/>
    <mergeCell ref="F66:G66"/>
    <mergeCell ref="H66:I66"/>
    <mergeCell ref="J66:K66"/>
    <mergeCell ref="L66:M66"/>
    <mergeCell ref="D65:E65"/>
    <mergeCell ref="O48:P48"/>
    <mergeCell ref="F65:G65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D31:E31"/>
    <mergeCell ref="J32:K32"/>
    <mergeCell ref="J33:K33"/>
    <mergeCell ref="D32:E32"/>
    <mergeCell ref="D33:E33"/>
    <mergeCell ref="O35:R35"/>
    <mergeCell ref="I63:J63"/>
    <mergeCell ref="C62:D62"/>
    <mergeCell ref="E62:F62"/>
    <mergeCell ref="C35:F35"/>
    <mergeCell ref="J31:K31"/>
    <mergeCell ref="C61:D61"/>
    <mergeCell ref="E61:F61"/>
    <mergeCell ref="K35:N35"/>
    <mergeCell ref="K61:L61"/>
    <mergeCell ref="F32:G32"/>
    <mergeCell ref="F31:G31"/>
    <mergeCell ref="H33:I33"/>
    <mergeCell ref="H32:I32"/>
    <mergeCell ref="H31:I31"/>
    <mergeCell ref="C83:F83"/>
    <mergeCell ref="D105:E105"/>
    <mergeCell ref="F105:G105"/>
    <mergeCell ref="H105:I105"/>
    <mergeCell ref="J105:K105"/>
    <mergeCell ref="L105:M105"/>
    <mergeCell ref="N105:O105"/>
    <mergeCell ref="C107:F107"/>
    <mergeCell ref="G107:J107"/>
    <mergeCell ref="K107:N107"/>
    <mergeCell ref="A101:B105"/>
    <mergeCell ref="D101:E101"/>
    <mergeCell ref="F101:G101"/>
    <mergeCell ref="H101:I101"/>
    <mergeCell ref="J101:K101"/>
    <mergeCell ref="L101:M101"/>
    <mergeCell ref="N101:O101"/>
    <mergeCell ref="D102:E102"/>
    <mergeCell ref="F102:G102"/>
    <mergeCell ref="H102:I102"/>
    <mergeCell ref="J102:K102"/>
    <mergeCell ref="L102:M102"/>
    <mergeCell ref="N102:O102"/>
    <mergeCell ref="D103:E103"/>
    <mergeCell ref="F103:G103"/>
    <mergeCell ref="H103:I103"/>
    <mergeCell ref="J103:K103"/>
    <mergeCell ref="L103:M103"/>
    <mergeCell ref="N103:O103"/>
    <mergeCell ref="D104:E104"/>
    <mergeCell ref="F104:G104"/>
    <mergeCell ref="G143:J143"/>
    <mergeCell ref="K143:N143"/>
    <mergeCell ref="N136:O136"/>
    <mergeCell ref="A137:B141"/>
    <mergeCell ref="D137:E137"/>
    <mergeCell ref="F137:G137"/>
    <mergeCell ref="H137:I137"/>
    <mergeCell ref="J137:K137"/>
    <mergeCell ref="L137:M137"/>
    <mergeCell ref="N137:O137"/>
    <mergeCell ref="D138:E138"/>
    <mergeCell ref="F138:G138"/>
    <mergeCell ref="H138:I138"/>
    <mergeCell ref="J138:K138"/>
    <mergeCell ref="L138:M138"/>
    <mergeCell ref="N138:O138"/>
    <mergeCell ref="D139:E139"/>
    <mergeCell ref="F139:G139"/>
    <mergeCell ref="H139:I139"/>
    <mergeCell ref="J139:K139"/>
    <mergeCell ref="L139:M139"/>
    <mergeCell ref="N139:O139"/>
    <mergeCell ref="D140:E140"/>
    <mergeCell ref="F140:G140"/>
    <mergeCell ref="H140:I140"/>
    <mergeCell ref="D141:E141"/>
    <mergeCell ref="F141:G141"/>
    <mergeCell ref="H141:I141"/>
    <mergeCell ref="J141:K141"/>
    <mergeCell ref="L141:M141"/>
    <mergeCell ref="N141:O141"/>
    <mergeCell ref="J140:K140"/>
    <mergeCell ref="C171:D171"/>
    <mergeCell ref="E171:F171"/>
    <mergeCell ref="G171:H171"/>
    <mergeCell ref="I171:J171"/>
    <mergeCell ref="K171:L171"/>
    <mergeCell ref="D172:E172"/>
    <mergeCell ref="F172:G172"/>
    <mergeCell ref="H172:I172"/>
    <mergeCell ref="J172:K172"/>
    <mergeCell ref="L172:M172"/>
    <mergeCell ref="C169:D169"/>
    <mergeCell ref="E169:F169"/>
    <mergeCell ref="G169:H169"/>
    <mergeCell ref="I169:J169"/>
    <mergeCell ref="K169:L169"/>
    <mergeCell ref="C170:D170"/>
    <mergeCell ref="E170:F170"/>
    <mergeCell ref="G170:H170"/>
    <mergeCell ref="I170:J170"/>
    <mergeCell ref="K170:L170"/>
    <mergeCell ref="M169:N169"/>
    <mergeCell ref="M170:N170"/>
    <mergeCell ref="M171:N171"/>
    <mergeCell ref="C143:F143"/>
    <mergeCell ref="D177:E177"/>
    <mergeCell ref="F177:G177"/>
    <mergeCell ref="H177:I177"/>
    <mergeCell ref="J177:K177"/>
    <mergeCell ref="L177:M177"/>
    <mergeCell ref="N177:O177"/>
    <mergeCell ref="C179:F179"/>
    <mergeCell ref="G179:J179"/>
    <mergeCell ref="K179:N179"/>
    <mergeCell ref="N172:O172"/>
    <mergeCell ref="A173:B177"/>
    <mergeCell ref="D173:E173"/>
    <mergeCell ref="F173:G173"/>
    <mergeCell ref="H173:I173"/>
    <mergeCell ref="J173:K173"/>
    <mergeCell ref="L173:M173"/>
    <mergeCell ref="N173:O173"/>
    <mergeCell ref="D174:E174"/>
    <mergeCell ref="F174:G174"/>
    <mergeCell ref="H174:I174"/>
    <mergeCell ref="J174:K174"/>
    <mergeCell ref="L174:M174"/>
    <mergeCell ref="N174:O174"/>
    <mergeCell ref="D175:E175"/>
    <mergeCell ref="F175:G175"/>
    <mergeCell ref="H175:I175"/>
    <mergeCell ref="J175:K175"/>
    <mergeCell ref="L175:M175"/>
    <mergeCell ref="N175:O175"/>
    <mergeCell ref="D176:E176"/>
    <mergeCell ref="F176:G176"/>
    <mergeCell ref="H176:I176"/>
    <mergeCell ref="C207:D207"/>
    <mergeCell ref="E207:F207"/>
    <mergeCell ref="G207:H207"/>
    <mergeCell ref="I207:J207"/>
    <mergeCell ref="K207:L207"/>
    <mergeCell ref="D208:E208"/>
    <mergeCell ref="F208:G208"/>
    <mergeCell ref="H208:I208"/>
    <mergeCell ref="J208:K208"/>
    <mergeCell ref="L208:M208"/>
    <mergeCell ref="C205:D205"/>
    <mergeCell ref="E205:F205"/>
    <mergeCell ref="G205:H205"/>
    <mergeCell ref="I205:J205"/>
    <mergeCell ref="K205:L205"/>
    <mergeCell ref="C206:D206"/>
    <mergeCell ref="E206:F206"/>
    <mergeCell ref="G206:H206"/>
    <mergeCell ref="I206:J206"/>
    <mergeCell ref="K206:L206"/>
    <mergeCell ref="M205:N205"/>
    <mergeCell ref="M206:N206"/>
    <mergeCell ref="M207:N207"/>
    <mergeCell ref="N208:O208"/>
    <mergeCell ref="O205:P205"/>
    <mergeCell ref="D213:E213"/>
    <mergeCell ref="F213:G213"/>
    <mergeCell ref="H213:I213"/>
    <mergeCell ref="J213:K213"/>
    <mergeCell ref="L213:M213"/>
    <mergeCell ref="N213:O213"/>
    <mergeCell ref="C215:F215"/>
    <mergeCell ref="G215:J215"/>
    <mergeCell ref="K215:N215"/>
    <mergeCell ref="A209:B213"/>
    <mergeCell ref="D209:E209"/>
    <mergeCell ref="F209:G209"/>
    <mergeCell ref="H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D211:E211"/>
    <mergeCell ref="F211:G211"/>
    <mergeCell ref="H211:I211"/>
    <mergeCell ref="J211:K211"/>
    <mergeCell ref="L211:M211"/>
    <mergeCell ref="N211:O211"/>
    <mergeCell ref="D212:E212"/>
    <mergeCell ref="F212:G212"/>
    <mergeCell ref="H212:I212"/>
    <mergeCell ref="J212:K212"/>
    <mergeCell ref="C243:D243"/>
    <mergeCell ref="E243:F243"/>
    <mergeCell ref="G243:H243"/>
    <mergeCell ref="I243:J243"/>
    <mergeCell ref="K243:L243"/>
    <mergeCell ref="D244:E244"/>
    <mergeCell ref="F244:G244"/>
    <mergeCell ref="H244:I244"/>
    <mergeCell ref="J244:K244"/>
    <mergeCell ref="L244:M244"/>
    <mergeCell ref="C241:D241"/>
    <mergeCell ref="E241:F241"/>
    <mergeCell ref="G241:H241"/>
    <mergeCell ref="I241:J241"/>
    <mergeCell ref="K241:L241"/>
    <mergeCell ref="C242:D242"/>
    <mergeCell ref="E242:F242"/>
    <mergeCell ref="G242:H242"/>
    <mergeCell ref="I242:J242"/>
    <mergeCell ref="K242:L242"/>
    <mergeCell ref="M241:N241"/>
    <mergeCell ref="M242:N242"/>
    <mergeCell ref="M243:N243"/>
    <mergeCell ref="D249:E249"/>
    <mergeCell ref="F249:G249"/>
    <mergeCell ref="H249:I249"/>
    <mergeCell ref="J249:K249"/>
    <mergeCell ref="L249:M249"/>
    <mergeCell ref="N249:O249"/>
    <mergeCell ref="C251:F251"/>
    <mergeCell ref="G251:J251"/>
    <mergeCell ref="K251:N251"/>
    <mergeCell ref="N244:O244"/>
    <mergeCell ref="A245:B249"/>
    <mergeCell ref="D245:E245"/>
    <mergeCell ref="F245:G245"/>
    <mergeCell ref="H245:I245"/>
    <mergeCell ref="J245:K245"/>
    <mergeCell ref="L245:M245"/>
    <mergeCell ref="N245:O245"/>
    <mergeCell ref="D246:E246"/>
    <mergeCell ref="F246:G246"/>
    <mergeCell ref="H246:I246"/>
    <mergeCell ref="J246:K246"/>
    <mergeCell ref="L246:M246"/>
    <mergeCell ref="N246:O246"/>
    <mergeCell ref="D247:E247"/>
    <mergeCell ref="F247:G247"/>
    <mergeCell ref="H247:I247"/>
    <mergeCell ref="J247:K247"/>
    <mergeCell ref="L247:M247"/>
    <mergeCell ref="N247:O247"/>
    <mergeCell ref="D248:E248"/>
    <mergeCell ref="F248:G248"/>
    <mergeCell ref="H248:I248"/>
    <mergeCell ref="C279:D279"/>
    <mergeCell ref="E279:F279"/>
    <mergeCell ref="G279:H279"/>
    <mergeCell ref="I279:J279"/>
    <mergeCell ref="K279:L279"/>
    <mergeCell ref="D280:E280"/>
    <mergeCell ref="F280:G280"/>
    <mergeCell ref="H280:I280"/>
    <mergeCell ref="J280:K280"/>
    <mergeCell ref="L280:M280"/>
    <mergeCell ref="C277:D277"/>
    <mergeCell ref="E277:F277"/>
    <mergeCell ref="G277:H277"/>
    <mergeCell ref="I277:J277"/>
    <mergeCell ref="K277:L277"/>
    <mergeCell ref="C278:D278"/>
    <mergeCell ref="E278:F278"/>
    <mergeCell ref="G278:H278"/>
    <mergeCell ref="I278:J278"/>
    <mergeCell ref="K278:L278"/>
    <mergeCell ref="M278:N278"/>
    <mergeCell ref="M279:N279"/>
    <mergeCell ref="M277:N277"/>
    <mergeCell ref="N280:O280"/>
    <mergeCell ref="O278:P278"/>
    <mergeCell ref="O277:P277"/>
    <mergeCell ref="O279:P279"/>
    <mergeCell ref="A281:B285"/>
    <mergeCell ref="D281:E281"/>
    <mergeCell ref="F281:G281"/>
    <mergeCell ref="H281:I281"/>
    <mergeCell ref="J281:K281"/>
    <mergeCell ref="L281:M281"/>
    <mergeCell ref="N281:O281"/>
    <mergeCell ref="D282:E282"/>
    <mergeCell ref="F282:G282"/>
    <mergeCell ref="H282:I282"/>
    <mergeCell ref="J282:K282"/>
    <mergeCell ref="L282:M282"/>
    <mergeCell ref="N282:O282"/>
    <mergeCell ref="D283:E283"/>
    <mergeCell ref="F283:G283"/>
    <mergeCell ref="H283:I283"/>
    <mergeCell ref="J283:K283"/>
    <mergeCell ref="L283:M283"/>
    <mergeCell ref="N283:O283"/>
    <mergeCell ref="D284:E284"/>
    <mergeCell ref="F284:G284"/>
    <mergeCell ref="H284:I284"/>
    <mergeCell ref="L284:M284"/>
    <mergeCell ref="C313:D313"/>
    <mergeCell ref="E313:F313"/>
    <mergeCell ref="G313:H313"/>
    <mergeCell ref="I313:J313"/>
    <mergeCell ref="K313:L313"/>
    <mergeCell ref="C314:D314"/>
    <mergeCell ref="E314:F314"/>
    <mergeCell ref="G314:H314"/>
    <mergeCell ref="I314:J314"/>
    <mergeCell ref="K314:L314"/>
    <mergeCell ref="D285:E285"/>
    <mergeCell ref="F285:G285"/>
    <mergeCell ref="H285:I285"/>
    <mergeCell ref="J285:K285"/>
    <mergeCell ref="L285:M285"/>
    <mergeCell ref="N285:O285"/>
    <mergeCell ref="C287:F287"/>
    <mergeCell ref="G287:J287"/>
    <mergeCell ref="K287:N287"/>
    <mergeCell ref="M313:N313"/>
    <mergeCell ref="M314:N314"/>
    <mergeCell ref="O313:P313"/>
    <mergeCell ref="K300:L300"/>
    <mergeCell ref="D320:E320"/>
    <mergeCell ref="F320:G320"/>
    <mergeCell ref="H320:I320"/>
    <mergeCell ref="D321:E321"/>
    <mergeCell ref="F321:G321"/>
    <mergeCell ref="H321:I321"/>
    <mergeCell ref="J321:K321"/>
    <mergeCell ref="L321:M321"/>
    <mergeCell ref="N321:O321"/>
    <mergeCell ref="C315:D315"/>
    <mergeCell ref="E315:F315"/>
    <mergeCell ref="G315:H315"/>
    <mergeCell ref="I315:J315"/>
    <mergeCell ref="K315:L315"/>
    <mergeCell ref="D316:E316"/>
    <mergeCell ref="F316:G316"/>
    <mergeCell ref="H316:I316"/>
    <mergeCell ref="J316:K316"/>
    <mergeCell ref="L316:M316"/>
    <mergeCell ref="J320:K320"/>
    <mergeCell ref="L320:M320"/>
    <mergeCell ref="M315:N315"/>
    <mergeCell ref="H319:I319"/>
    <mergeCell ref="J319:K319"/>
    <mergeCell ref="L319:M319"/>
    <mergeCell ref="N319:O319"/>
    <mergeCell ref="O315:P315"/>
    <mergeCell ref="C323:F323"/>
    <mergeCell ref="G323:J323"/>
    <mergeCell ref="K323:N323"/>
    <mergeCell ref="N316:O316"/>
    <mergeCell ref="C351:D351"/>
    <mergeCell ref="E351:F351"/>
    <mergeCell ref="G351:H351"/>
    <mergeCell ref="I351:J351"/>
    <mergeCell ref="K351:L351"/>
    <mergeCell ref="D352:E352"/>
    <mergeCell ref="F352:G352"/>
    <mergeCell ref="H352:I352"/>
    <mergeCell ref="J352:K352"/>
    <mergeCell ref="L352:M352"/>
    <mergeCell ref="C349:D349"/>
    <mergeCell ref="E349:F349"/>
    <mergeCell ref="G349:H349"/>
    <mergeCell ref="I349:J349"/>
    <mergeCell ref="K349:L349"/>
    <mergeCell ref="C350:D350"/>
    <mergeCell ref="E350:F350"/>
    <mergeCell ref="G350:H350"/>
    <mergeCell ref="I350:J350"/>
    <mergeCell ref="K350:L350"/>
    <mergeCell ref="D318:E318"/>
    <mergeCell ref="F318:G318"/>
    <mergeCell ref="H318:I318"/>
    <mergeCell ref="J318:K318"/>
    <mergeCell ref="L318:M318"/>
    <mergeCell ref="N318:O318"/>
    <mergeCell ref="D319:E319"/>
    <mergeCell ref="F319:G319"/>
    <mergeCell ref="A317:B321"/>
    <mergeCell ref="D317:E317"/>
    <mergeCell ref="F317:G317"/>
    <mergeCell ref="H317:I317"/>
    <mergeCell ref="J317:K317"/>
    <mergeCell ref="L317:M317"/>
    <mergeCell ref="N317:O317"/>
    <mergeCell ref="D357:E357"/>
    <mergeCell ref="F357:G357"/>
    <mergeCell ref="H357:I357"/>
    <mergeCell ref="J357:K357"/>
    <mergeCell ref="L357:M357"/>
    <mergeCell ref="N357:O357"/>
    <mergeCell ref="C359:F359"/>
    <mergeCell ref="G359:J359"/>
    <mergeCell ref="K359:N359"/>
    <mergeCell ref="N352:O352"/>
    <mergeCell ref="A353:B357"/>
    <mergeCell ref="D353:E353"/>
    <mergeCell ref="F353:G353"/>
    <mergeCell ref="H353:I353"/>
    <mergeCell ref="J353:K353"/>
    <mergeCell ref="L353:M353"/>
    <mergeCell ref="N353:O353"/>
    <mergeCell ref="D354:E354"/>
    <mergeCell ref="F354:G354"/>
    <mergeCell ref="H354:I354"/>
    <mergeCell ref="J354:K354"/>
    <mergeCell ref="L354:M354"/>
    <mergeCell ref="N354:O354"/>
    <mergeCell ref="D355:E355"/>
    <mergeCell ref="F355:G355"/>
    <mergeCell ref="C387:D387"/>
    <mergeCell ref="E387:F387"/>
    <mergeCell ref="G387:H387"/>
    <mergeCell ref="I387:J387"/>
    <mergeCell ref="K387:L387"/>
    <mergeCell ref="D388:E388"/>
    <mergeCell ref="F388:G388"/>
    <mergeCell ref="H388:I388"/>
    <mergeCell ref="J388:K388"/>
    <mergeCell ref="L388:M388"/>
    <mergeCell ref="C385:D385"/>
    <mergeCell ref="E385:F385"/>
    <mergeCell ref="G385:H385"/>
    <mergeCell ref="I385:J385"/>
    <mergeCell ref="K385:L385"/>
    <mergeCell ref="C386:D386"/>
    <mergeCell ref="E386:F386"/>
    <mergeCell ref="G386:H386"/>
    <mergeCell ref="I386:J386"/>
    <mergeCell ref="K386:L386"/>
    <mergeCell ref="M385:N385"/>
    <mergeCell ref="N388:O388"/>
    <mergeCell ref="O385:P385"/>
    <mergeCell ref="O387:P387"/>
    <mergeCell ref="C395:F395"/>
    <mergeCell ref="G395:J395"/>
    <mergeCell ref="K395:N395"/>
    <mergeCell ref="A389:B393"/>
    <mergeCell ref="D389:E389"/>
    <mergeCell ref="F389:G389"/>
    <mergeCell ref="H389:I389"/>
    <mergeCell ref="J389:K389"/>
    <mergeCell ref="L389:M389"/>
    <mergeCell ref="N389:O389"/>
    <mergeCell ref="D390:E390"/>
    <mergeCell ref="F390:G390"/>
    <mergeCell ref="H390:I390"/>
    <mergeCell ref="J390:K390"/>
    <mergeCell ref="L390:M390"/>
    <mergeCell ref="N390:O390"/>
    <mergeCell ref="D391:E391"/>
    <mergeCell ref="F391:G391"/>
    <mergeCell ref="H391:I391"/>
    <mergeCell ref="J391:K391"/>
    <mergeCell ref="L391:M391"/>
    <mergeCell ref="N391:O391"/>
    <mergeCell ref="D392:E392"/>
    <mergeCell ref="F392:G392"/>
    <mergeCell ref="H392:I392"/>
    <mergeCell ref="L392:M392"/>
    <mergeCell ref="A250:B250"/>
    <mergeCell ref="A394:B394"/>
    <mergeCell ref="F1:P1"/>
    <mergeCell ref="J176:K176"/>
    <mergeCell ref="L176:M176"/>
    <mergeCell ref="J248:K248"/>
    <mergeCell ref="L248:M248"/>
    <mergeCell ref="J284:K284"/>
    <mergeCell ref="J392:K392"/>
    <mergeCell ref="J356:K356"/>
    <mergeCell ref="L356:M356"/>
    <mergeCell ref="A106:B106"/>
    <mergeCell ref="A142:B142"/>
    <mergeCell ref="I61:J61"/>
    <mergeCell ref="A178:B178"/>
    <mergeCell ref="A214:B214"/>
    <mergeCell ref="A286:B286"/>
    <mergeCell ref="A322:B322"/>
    <mergeCell ref="A358:B358"/>
    <mergeCell ref="K271:P271"/>
    <mergeCell ref="K272:P272"/>
    <mergeCell ref="K273:P273"/>
    <mergeCell ref="N356:O356"/>
    <mergeCell ref="D393:E393"/>
    <mergeCell ref="F393:G393"/>
    <mergeCell ref="H393:I393"/>
    <mergeCell ref="J393:K393"/>
    <mergeCell ref="L393:M393"/>
    <mergeCell ref="N393:O393"/>
    <mergeCell ref="D356:E356"/>
    <mergeCell ref="F356:G356"/>
    <mergeCell ref="H356:I356"/>
    <mergeCell ref="AA402:AD402"/>
    <mergeCell ref="AA214:AD214"/>
    <mergeCell ref="AA255:AD255"/>
    <mergeCell ref="AA256:AD256"/>
    <mergeCell ref="AA250:AD250"/>
    <mergeCell ref="AA251:AD251"/>
    <mergeCell ref="AA258:AD258"/>
    <mergeCell ref="AA113:AD113"/>
    <mergeCell ref="AA114:AD114"/>
    <mergeCell ref="AA137:AD137"/>
    <mergeCell ref="AA138:AD138"/>
    <mergeCell ref="AA139:AD139"/>
    <mergeCell ref="AA140:AD140"/>
    <mergeCell ref="AA141:AD141"/>
    <mergeCell ref="AA142:AD142"/>
    <mergeCell ref="AA143:AD143"/>
    <mergeCell ref="AA144:AD144"/>
    <mergeCell ref="AA145:AD145"/>
    <mergeCell ref="AA146:AD146"/>
    <mergeCell ref="AA147:AD147"/>
    <mergeCell ref="AA148:AD148"/>
    <mergeCell ref="AA149:AD149"/>
    <mergeCell ref="AA150:AD150"/>
    <mergeCell ref="AA173:AD173"/>
    <mergeCell ref="AA217:AD217"/>
    <mergeCell ref="AA219:AD219"/>
    <mergeCell ref="AA215:AD215"/>
    <mergeCell ref="AA359:AD359"/>
    <mergeCell ref="AA390:AD390"/>
    <mergeCell ref="AA391:AD391"/>
    <mergeCell ref="AA392:AD392"/>
    <mergeCell ref="AA393:AD393"/>
    <mergeCell ref="AA394:AD394"/>
    <mergeCell ref="AA395:AD395"/>
    <mergeCell ref="AA396:AD396"/>
    <mergeCell ref="AA397:AD397"/>
    <mergeCell ref="AA398:AD398"/>
    <mergeCell ref="AA399:AD399"/>
    <mergeCell ref="AA400:AD400"/>
    <mergeCell ref="AA401:AD401"/>
    <mergeCell ref="S395:T395"/>
    <mergeCell ref="AA176:AD176"/>
    <mergeCell ref="AA358:AD358"/>
    <mergeCell ref="AA365:AD365"/>
    <mergeCell ref="AA366:AD366"/>
    <mergeCell ref="AA389:AD389"/>
    <mergeCell ref="S207:T207"/>
    <mergeCell ref="U313:V313"/>
    <mergeCell ref="AA360:AD360"/>
    <mergeCell ref="AA361:AD361"/>
    <mergeCell ref="AA362:AD362"/>
    <mergeCell ref="AA363:AD363"/>
    <mergeCell ref="AA364:AD364"/>
    <mergeCell ref="AA287:AD287"/>
    <mergeCell ref="AA288:AD288"/>
    <mergeCell ref="AA289:AD289"/>
    <mergeCell ref="AA290:AD290"/>
    <mergeCell ref="AA186:AD186"/>
    <mergeCell ref="Z193:AB193"/>
    <mergeCell ref="Z229:AB229"/>
    <mergeCell ref="U385:V385"/>
    <mergeCell ref="U386:V386"/>
    <mergeCell ref="U207:V207"/>
    <mergeCell ref="U241:V241"/>
    <mergeCell ref="AA177:AD177"/>
    <mergeCell ref="AA181:AD181"/>
    <mergeCell ref="U243:V243"/>
    <mergeCell ref="U314:V314"/>
    <mergeCell ref="AA184:AD184"/>
    <mergeCell ref="AA216:AD216"/>
    <mergeCell ref="U277:V277"/>
    <mergeCell ref="AA249:AD249"/>
    <mergeCell ref="AA212:AD212"/>
    <mergeCell ref="AA322:AD322"/>
    <mergeCell ref="AA323:AD323"/>
    <mergeCell ref="AA324:AD324"/>
    <mergeCell ref="AA291:AD291"/>
    <mergeCell ref="AA320:AD320"/>
    <mergeCell ref="AA321:AD321"/>
    <mergeCell ref="AA281:AD281"/>
    <mergeCell ref="AA254:AD254"/>
    <mergeCell ref="AA282:AD282"/>
    <mergeCell ref="AA182:AD182"/>
    <mergeCell ref="AA183:AD183"/>
    <mergeCell ref="S229:U234"/>
    <mergeCell ref="U349:V349"/>
    <mergeCell ref="U350:V350"/>
    <mergeCell ref="U351:V351"/>
    <mergeCell ref="AA330:AD330"/>
    <mergeCell ref="G62:H62"/>
    <mergeCell ref="I62:J62"/>
    <mergeCell ref="H65:I65"/>
    <mergeCell ref="J65:K65"/>
    <mergeCell ref="L65:M65"/>
    <mergeCell ref="G61:H61"/>
    <mergeCell ref="S337:U342"/>
    <mergeCell ref="S179:T179"/>
    <mergeCell ref="O215:R215"/>
    <mergeCell ref="S215:T215"/>
    <mergeCell ref="O251:R251"/>
    <mergeCell ref="H100:I100"/>
    <mergeCell ref="U278:V278"/>
    <mergeCell ref="U279:V279"/>
    <mergeCell ref="S135:T135"/>
    <mergeCell ref="U205:V205"/>
    <mergeCell ref="U206:V206"/>
    <mergeCell ref="N65:O65"/>
    <mergeCell ref="S205:T205"/>
    <mergeCell ref="AA112:AD112"/>
    <mergeCell ref="AA213:AD213"/>
    <mergeCell ref="Q349:R349"/>
    <mergeCell ref="S171:T171"/>
    <mergeCell ref="AA178:AD178"/>
    <mergeCell ref="O62:P62"/>
    <mergeCell ref="Q62:R62"/>
    <mergeCell ref="S62:T62"/>
    <mergeCell ref="Z301:AB301"/>
    <mergeCell ref="S409:U414"/>
    <mergeCell ref="U97:V97"/>
    <mergeCell ref="U98:V98"/>
    <mergeCell ref="S121:U126"/>
    <mergeCell ref="U133:V133"/>
    <mergeCell ref="U134:V134"/>
    <mergeCell ref="U135:V135"/>
    <mergeCell ref="U169:V169"/>
    <mergeCell ref="U170:V170"/>
    <mergeCell ref="Q169:R169"/>
    <mergeCell ref="S169:T169"/>
    <mergeCell ref="AA284:AD284"/>
    <mergeCell ref="AA285:AD285"/>
    <mergeCell ref="AA286:AD286"/>
    <mergeCell ref="AA209:AD209"/>
    <mergeCell ref="AA210:AD210"/>
    <mergeCell ref="AA211:AD211"/>
    <mergeCell ref="U171:V171"/>
    <mergeCell ref="Z157:AB157"/>
    <mergeCell ref="AA174:AD174"/>
    <mergeCell ref="AA353:AD353"/>
    <mergeCell ref="AA354:AD354"/>
    <mergeCell ref="AA355:AD355"/>
    <mergeCell ref="AA356:AD356"/>
    <mergeCell ref="AA357:AD357"/>
    <mergeCell ref="Z373:AB373"/>
    <mergeCell ref="AA326:AD326"/>
    <mergeCell ref="AA327:AD327"/>
    <mergeCell ref="AA328:AD328"/>
    <mergeCell ref="AA220:AD220"/>
    <mergeCell ref="AA221:AD221"/>
    <mergeCell ref="Z121:AB121"/>
    <mergeCell ref="K58:M58"/>
    <mergeCell ref="N58:P58"/>
    <mergeCell ref="S373:U378"/>
    <mergeCell ref="AA175:AD175"/>
    <mergeCell ref="AA179:AD179"/>
    <mergeCell ref="AA180:AD180"/>
    <mergeCell ref="S251:T251"/>
    <mergeCell ref="Z28:AD28"/>
    <mergeCell ref="Z23:AD23"/>
    <mergeCell ref="U28:V28"/>
    <mergeCell ref="Q28:S28"/>
    <mergeCell ref="U387:V387"/>
    <mergeCell ref="U61:V61"/>
    <mergeCell ref="U62:V62"/>
    <mergeCell ref="U63:V63"/>
    <mergeCell ref="S278:T278"/>
    <mergeCell ref="S265:U270"/>
    <mergeCell ref="R55:U57"/>
    <mergeCell ref="O25:P25"/>
    <mergeCell ref="Q25:R25"/>
    <mergeCell ref="S25:T25"/>
    <mergeCell ref="O26:P26"/>
    <mergeCell ref="Q26:R26"/>
    <mergeCell ref="S26:T26"/>
    <mergeCell ref="O27:P27"/>
    <mergeCell ref="Q27:R27"/>
    <mergeCell ref="S27:T27"/>
    <mergeCell ref="Z49:AB49"/>
    <mergeCell ref="Z85:AB85"/>
    <mergeCell ref="U25:V25"/>
    <mergeCell ref="U26:V26"/>
    <mergeCell ref="U27:V27"/>
  </mergeCells>
  <conditionalFormatting sqref="H49:I51 H85:I87 H121:I123 H160:H161 H157:I159 H196:H197 H193:I195 H232:H233 H229:I231 H268:H269 H265:I267 H304:H305 H301:I303 H340:H341 H337:I339 H376:H377 H373:I375 H412:H413 H409:I411 H54:I54 H49:H55 H88:H90 H124:H126 G58:H58 H56:I57 H91:I93 H127:I129 H162:I165 H198:I201 H234:I237 H270:I273 H306:I309 H342:I345 H378:I381 H414:I417 I90 I126 I54:I55">
    <cfRule type="colorScale" priority="96">
      <colorScale>
        <cfvo type="num" val="0"/>
        <cfvo type="formula" val="$Z$51"/>
        <color theme="0"/>
        <color rgb="FFFF0000"/>
      </colorScale>
    </cfRule>
  </conditionalFormatting>
  <conditionalFormatting sqref="B8:V11">
    <cfRule type="dataBar" priority="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{D710C610-E889-4D23-839B-2426C46BEE9B}</x14:id>
        </ext>
      </extLst>
    </cfRule>
    <cfRule type="colorScale" priority="98">
      <colorScale>
        <cfvo type="min"/>
        <cfvo type="max"/>
        <color rgb="FFFCFCFF"/>
        <color rgb="FFF8696B"/>
      </colorScale>
    </cfRule>
  </conditionalFormatting>
  <dataValidations count="1">
    <dataValidation type="list" errorStyle="information" allowBlank="1" showInputMessage="1" showErrorMessage="1" prompt="Select from drop down list" sqref="B26">
      <formula1>$B$3:$K$3</formula1>
    </dataValidation>
  </dataValidations>
  <hyperlinks>
    <hyperlink ref="B23" location="Sheet1!R91" display="Sheet1!R91"/>
    <hyperlink ref="C23" location="Sheet1!R127" display="Sheet1!R127"/>
    <hyperlink ref="D23" location="Sheet1!R163" display="Sheet1!R163"/>
    <hyperlink ref="E23" location="Sheet1!R199" display="Sheet1!R199"/>
    <hyperlink ref="F23" location="Sheet1!R235" display="Sheet1!R235"/>
    <hyperlink ref="G23" location="Sheet1!R271" display="Sheet1!R271"/>
    <hyperlink ref="H23" location="Sheet1!R307" display="Sheet1!R307"/>
    <hyperlink ref="I23" location="Sheet1!R343" display="Sheet1!R343"/>
    <hyperlink ref="J23" location="Sheet1!R379" display="Sheet1!R379"/>
    <hyperlink ref="K23" location="Sheet1!R415" display="Sheet1!R415"/>
    <hyperlink ref="C4" location="Sheet1!A107" display="Sheet1!A107"/>
    <hyperlink ref="D4" location="Sheet1!A143" display="Sheet1!A143"/>
    <hyperlink ref="E4" location="Sheet1!A179" display="Sheet1!A179"/>
    <hyperlink ref="F4" location="Sheet1!A215" display="Sheet1!A215"/>
    <hyperlink ref="G4" location="Sheet1!A251" display="Sheet1!A251"/>
    <hyperlink ref="H4" location="Sheet1!A287" display="Sheet1!A287"/>
    <hyperlink ref="I4" location="Sheet1!A323" display="Sheet1!A323"/>
    <hyperlink ref="J4" location="Sheet1!A359" display="Sheet1!A359"/>
    <hyperlink ref="K4" location="Sheet1!A395" display="Sheet1!A395"/>
    <hyperlink ref="B4" location="Sheet1!A71" display="Sheet1!A71"/>
  </hyperlinks>
  <pageMargins left="0.7" right="0.7" top="0.75" bottom="0.75" header="0.3" footer="0.3"/>
  <pageSetup orientation="portrait" r:id="rId1"/>
  <ignoredErrors>
    <ignoredError sqref="B15:K15 M49:M53 O49:O53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10C610-E889-4D23-839B-2426C46BE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B8:V11</xm:sqref>
        </x14:conditionalFormatting>
        <x14:conditionalFormatting xmlns:xm="http://schemas.microsoft.com/office/excel/2006/main">
          <x14:cfRule type="containsText" priority="91" operator="containsText" id="{0095C3F1-6B43-4A73-AF2E-2802133A5E71}">
            <xm:f>NOT(ISERROR(SEARCH("Valid",B5)))</xm:f>
            <xm:f>"Valid"</xm:f>
            <x14:dxf>
              <font>
                <color theme="0"/>
              </font>
              <fill>
                <patternFill patternType="solid">
                  <fgColor auto="1"/>
                  <bgColor rgb="FF00B050"/>
                </patternFill>
              </fill>
            </x14:dxf>
          </x14:cfRule>
          <xm:sqref>B5:V7</xm:sqref>
        </x14:conditionalFormatting>
        <x14:conditionalFormatting xmlns:xm="http://schemas.microsoft.com/office/excel/2006/main">
          <x14:cfRule type="containsText" priority="2" operator="containsText" id="{8AC41C6D-1AD6-4823-A825-537F3EC1372C}">
            <xm:f>NOT(ISERROR(SEARCH("----- (5)",B5)))</xm:f>
            <xm:f>"----- (5)"</xm:f>
            <x14:dxf>
              <font>
                <color theme="1"/>
              </font>
              <fill>
                <patternFill>
                  <bgColor rgb="FF00CCFF"/>
                </patternFill>
              </fill>
            </x14:dxf>
          </x14:cfRule>
          <x14:cfRule type="containsText" priority="1" operator="containsText" id="{48593484-93BF-4ACB-A0FD-E64A9B78F452}">
            <xm:f>NOT(ISERROR(SEARCH("----- (4)",B5)))</xm:f>
            <xm:f>"----- (4)"</xm:f>
            <x14:dxf>
              <font>
                <color theme="1"/>
              </font>
              <fill>
                <patternFill>
                  <bgColor rgb="FF00CCFF"/>
                </patternFill>
              </fill>
            </x14:dxf>
          </x14:cfRule>
          <xm:sqref>B5:K7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A389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A209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A101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A353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A245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A173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A317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A65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A137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A281</xm:sqref>
            </x14:sparkline>
          </x14:sparklines>
        </x14:sparklineGroup>
        <x14:sparklineGroup lineWeight="2.25" dateAxis="1" displayEmptyCellsAs="span" markers="1">
          <x14:colorSeries rgb="FF00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m:f>Sheet1!$C$25:$N$25</xm:f>
          <x14:sparklines>
            <x14:sparkline>
              <xm:f>Sheet1!$C$27:$M$27</xm:f>
              <xm:sqref>A29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2014-06-05T22:50:55Z</dcterms:created>
  <dcterms:modified xsi:type="dcterms:W3CDTF">2014-08-30T05:37:34Z</dcterms:modified>
</cp:coreProperties>
</file>