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activeTab="0"/>
  </bookViews>
  <sheets>
    <sheet name="MM Frame Gen" sheetId="1" r:id="rId1"/>
    <sheet name="Notes" sheetId="2" r:id="rId2"/>
  </sheets>
  <definedNames>
    <definedName name="B">'MM Frame Gen'!$W$61</definedName>
    <definedName name="_xlnm.Print_Area" localSheetId="0">'MM Frame Gen'!$B$2:$Q$23</definedName>
    <definedName name="ER">'MM Frame Gen'!$W$65</definedName>
    <definedName name="Hi">'MM Frame Gen'!$Q$37</definedName>
    <definedName name="I">'MM Frame Gen'!$W$59</definedName>
    <definedName name="IB">'MM Frame Gen'!$W$75</definedName>
    <definedName name="Lo">'MM Frame Gen'!$Q$38</definedName>
    <definedName name="M">'MM Frame Gen'!$W$57</definedName>
    <definedName name="MM">'MM Frame Gen'!$W$67</definedName>
    <definedName name="mPriceLow">'MM Frame Gen'!$Q$38</definedName>
    <definedName name="N">'MM Frame Gen'!$W$49</definedName>
    <definedName name="NN">'MM Frame Gen'!$W$68</definedName>
    <definedName name="Octave1_MMML">'MM Frame Gen'!$Q$47</definedName>
    <definedName name="Octave2_mMML">'MM Frame Gen'!$Q$48</definedName>
    <definedName name="Octave3_bMML">'MM Frame Gen'!$Q$49</definedName>
    <definedName name="OctaveCount">'MM Frame Gen'!$Q$54</definedName>
    <definedName name="RangeMMI">'MM Frame Gen'!$Q$53</definedName>
    <definedName name="SF">'MM Frame Gen'!$W$42</definedName>
    <definedName name="SI">'MM Frame Gen'!$W$55</definedName>
    <definedName name="SI2">'MM Frame Gen'!$W$73</definedName>
    <definedName name="TT">'MM Frame Gen'!$W$63</definedName>
  </definedNames>
  <calcPr fullCalcOnLoad="1"/>
</workbook>
</file>

<file path=xl/sharedStrings.xml><?xml version="1.0" encoding="utf-8"?>
<sst xmlns="http://schemas.openxmlformats.org/spreadsheetml/2006/main" count="160" uniqueCount="136">
  <si>
    <t>MML</t>
  </si>
  <si>
    <t>MMML</t>
  </si>
  <si>
    <t>mMML</t>
  </si>
  <si>
    <t>bMML</t>
  </si>
  <si>
    <t>Low</t>
  </si>
  <si>
    <t>High</t>
  </si>
  <si>
    <t>Scale Frame</t>
  </si>
  <si>
    <t>Table 1</t>
  </si>
  <si>
    <t>Scale Interval</t>
  </si>
  <si>
    <t>PriceRange</t>
  </si>
  <si>
    <t>Table 2</t>
  </si>
  <si>
    <t>Scale Frame (frm, tbl 1)</t>
  </si>
  <si>
    <t>Frame</t>
  </si>
  <si>
    <t xml:space="preserve">  3.0 &lt;= RangeMMI &lt; 5.0</t>
  </si>
  <si>
    <t xml:space="preserve">  5.0 &lt;= RangeMMI</t>
  </si>
  <si>
    <t xml:space="preserve">  1.25 &lt; RangeMMI &lt; 3.0</t>
  </si>
  <si>
    <t>Octave Count</t>
  </si>
  <si>
    <t>Height of Square (frm tbl 2)</t>
  </si>
  <si>
    <t>Step 4</t>
  </si>
  <si>
    <t>Step 1</t>
  </si>
  <si>
    <t>Step 2</t>
  </si>
  <si>
    <t>Step 3</t>
  </si>
  <si>
    <t>Step 5</t>
  </si>
  <si>
    <t>Find Bottom of Square in Time</t>
  </si>
  <si>
    <t xml:space="preserve">  Octave 1 - MMML</t>
  </si>
  <si>
    <t xml:space="preserve">  Octave 2 - mMML</t>
  </si>
  <si>
    <t xml:space="preserve">  Octave 3 - bMML</t>
  </si>
  <si>
    <t>Determine Height of square in time</t>
  </si>
  <si>
    <t>Determine the MMI that the square in time will be built from</t>
  </si>
  <si>
    <t>Identify the Scale Factor</t>
  </si>
  <si>
    <t>Calc for each MML, but choose the Octave Count one</t>
  </si>
  <si>
    <t>Bottom of Square in Time</t>
  </si>
  <si>
    <t>Step 6</t>
  </si>
  <si>
    <t>Find the best Square</t>
  </si>
  <si>
    <t>on the</t>
  </si>
  <si>
    <t>(0,8) (4,4)</t>
  </si>
  <si>
    <t>(0,4) (2,6) (4,8) (6,2)</t>
  </si>
  <si>
    <t>(0,2) (1,3) …. (6,8) (7,1)</t>
  </si>
  <si>
    <t>bot</t>
  </si>
  <si>
    <t>top</t>
  </si>
  <si>
    <t>Error</t>
  </si>
  <si>
    <t>Best fit, one with low error</t>
  </si>
  <si>
    <t>if Height is 8, make sure on 0,8 or 4,4 boundary</t>
  </si>
  <si>
    <t>if Height is 2, check best fit, one below and one above</t>
  </si>
  <si>
    <t>Base _ML</t>
  </si>
  <si>
    <t>if Height is 4, make sure on (0,4) (2,6) (4,8) (6,2) (eg must start on even)</t>
  </si>
  <si>
    <t>Best Square Results</t>
  </si>
  <si>
    <t xml:space="preserve">  Final bot and top of square</t>
  </si>
  <si>
    <t xml:space="preserve">  1/8 line height</t>
  </si>
  <si>
    <t>8/8</t>
  </si>
  <si>
    <t>7/8</t>
  </si>
  <si>
    <t>6/8</t>
  </si>
  <si>
    <t>5/8</t>
  </si>
  <si>
    <t>4/8</t>
  </si>
  <si>
    <t>3/8</t>
  </si>
  <si>
    <t>2/8</t>
  </si>
  <si>
    <t>1/8</t>
  </si>
  <si>
    <t>0/8</t>
  </si>
  <si>
    <t>2 Final</t>
  </si>
  <si>
    <t>4 Final</t>
  </si>
  <si>
    <t>8 Final</t>
  </si>
  <si>
    <t>Frame Hgt</t>
  </si>
  <si>
    <t>Frame Intvl</t>
  </si>
  <si>
    <t>+2/8</t>
  </si>
  <si>
    <t>+1/8</t>
  </si>
  <si>
    <t>-2/8</t>
  </si>
  <si>
    <t>-1/8</t>
  </si>
  <si>
    <t>MMI's</t>
  </si>
  <si>
    <t>Murrey Math Calculator for Excel</t>
  </si>
  <si>
    <t>enter your values here</t>
  </si>
  <si>
    <t>The formulas -- Came from Murrey's book and Tim Kruzels notes</t>
  </si>
  <si>
    <t>There may be occasions where these formulas do not work!!!!   This spreadsheet is ** UNDER DEVELOPMENT **</t>
  </si>
  <si>
    <t>and is ** NOT WARRANTED TO PRODUCE ACCURATE RESULTS, USE OF THIS SPREADSHEET IS AT</t>
  </si>
  <si>
    <t>** for demonstration purposes only **</t>
  </si>
  <si>
    <t>** output is NOT guaranteed **</t>
  </si>
  <si>
    <t>Step 0</t>
  </si>
  <si>
    <t>Scale the data if needed</t>
  </si>
  <si>
    <t>Real High</t>
  </si>
  <si>
    <t>Real Low</t>
  </si>
  <si>
    <t xml:space="preserve">  Excel formulas not up to this task - darn!</t>
  </si>
  <si>
    <t>mMML (Octave = 2)</t>
  </si>
  <si>
    <t>bMML  (Octave = 3)</t>
  </si>
  <si>
    <t>MMML (Octave = 1)</t>
  </si>
  <si>
    <t>Given a value N, where is it inside frame F?</t>
  </si>
  <si>
    <t>Example</t>
  </si>
  <si>
    <t>N</t>
  </si>
  <si>
    <t>F</t>
  </si>
  <si>
    <t>lower</t>
  </si>
  <si>
    <t>int( n / f ) * f + int(wif) * ( f / 8 )</t>
  </si>
  <si>
    <t>higher</t>
  </si>
  <si>
    <t>int( n / f ) * f + (int(wif)+1) * ( f / 8 )</t>
  </si>
  <si>
    <t>Where in Frame = WIF = (( n / f ) - Int( n / f)) * 8</t>
  </si>
  <si>
    <t>integer part tells which frame it is in</t>
  </si>
  <si>
    <t>WIF</t>
  </si>
  <si>
    <t>Lower</t>
  </si>
  <si>
    <t>Higher</t>
  </si>
  <si>
    <t>Frames</t>
  </si>
  <si>
    <t>==============</t>
  </si>
  <si>
    <t>avg of open and close</t>
  </si>
  <si>
    <t xml:space="preserve">open </t>
  </si>
  <si>
    <t>high</t>
  </si>
  <si>
    <t>low</t>
  </si>
  <si>
    <t>close</t>
  </si>
  <si>
    <t>Waist =</t>
  </si>
  <si>
    <t>"Waist" of price in candlestick</t>
  </si>
  <si>
    <t>Next best lower and higher "natural" frame line for number</t>
  </si>
  <si>
    <t>Octave Count =</t>
  </si>
  <si>
    <t>** WARNING, Your high and low are reversed **</t>
  </si>
  <si>
    <t>** WARNING, This does not scale data &lt; 25 properly yet, results may be invalid! **</t>
  </si>
  <si>
    <t>** WARNING, This does not handle frame transitions correctly yet **</t>
  </si>
  <si>
    <t>version 1.3  Dec 1999</t>
  </si>
  <si>
    <t>YOUR OWN RISK **.    Brian McMullan, © Dec 1999, bmm@worldpost.com</t>
  </si>
  <si>
    <t xml:space="preserve">  Octave 4 - bMML^1</t>
  </si>
  <si>
    <t xml:space="preserve">  Octave 5 - bMML^2</t>
  </si>
  <si>
    <t xml:space="preserve">  Octave 6 - bMML^ 3</t>
  </si>
  <si>
    <t>bMML^1  (Octave = 4)</t>
  </si>
  <si>
    <t>bMML^2  (Octave = 5)</t>
  </si>
  <si>
    <t>bMML^3  (Octave = 6)</t>
  </si>
  <si>
    <t>Warning/Error Msg Selection</t>
  </si>
  <si>
    <t>h/l reverse</t>
  </si>
  <si>
    <t>scale prob</t>
  </si>
  <si>
    <t>transition</t>
  </si>
  <si>
    <t>Msg Sel</t>
  </si>
  <si>
    <t>** WARNING, Calc'd Octave is smaller than a bMML **</t>
  </si>
  <si>
    <t>sub octave</t>
  </si>
  <si>
    <r>
      <t>RangeMMI</t>
    </r>
    <r>
      <rPr>
        <sz val="10"/>
        <rFont val="Arial"/>
        <family val="0"/>
      </rPr>
      <t xml:space="preserve"> (pick &gt; 1.25)</t>
    </r>
  </si>
  <si>
    <t>Adjusted Height of Square</t>
  </si>
  <si>
    <t>Frame Height</t>
  </si>
  <si>
    <t>RangeMMI</t>
  </si>
  <si>
    <t>High &gt; 2/8</t>
  </si>
  <si>
    <t>** ERROR: Price high is larger than +2/8th line!</t>
  </si>
  <si>
    <t>SqInTime</t>
  </si>
  <si>
    <t>Double Check Best Square</t>
  </si>
  <si>
    <t>Is price high &gt; 2/8th line</t>
  </si>
  <si>
    <t xml:space="preserve">  If yes, force SqInTime = 4</t>
  </si>
  <si>
    <t>+2/8th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</si>
</sst>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"/>
    <numFmt numFmtId="175" formatCode="0.0000"/>
    <numFmt numFmtId="176" formatCode="m/d/yyyy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22"/>
      <name val="Arial"/>
      <family val="2"/>
    </font>
    <font>
      <sz val="10"/>
      <color indexed="9"/>
      <name val="Arial"/>
      <family val="2"/>
    </font>
    <font>
      <sz val="8"/>
      <color indexed="23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8"/>
      <color indexed="40"/>
      <name val="Arial"/>
      <family val="2"/>
    </font>
    <font>
      <sz val="10"/>
      <color indexed="40"/>
      <name val="Arial"/>
      <family val="2"/>
    </font>
    <font>
      <i/>
      <sz val="8"/>
      <color indexed="40"/>
      <name val="Arial"/>
      <family val="2"/>
    </font>
    <font>
      <i/>
      <sz val="10"/>
      <color indexed="40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ed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2" fontId="0" fillId="2" borderId="1" xfId="0" applyNumberFormat="1" applyFont="1" applyFill="1" applyBorder="1" applyAlignment="1" applyProtection="1">
      <alignment/>
      <protection locked="0"/>
    </xf>
    <xf numFmtId="2" fontId="0" fillId="2" borderId="2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2" fontId="0" fillId="2" borderId="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2" fontId="0" fillId="2" borderId="2" xfId="0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0" fontId="12" fillId="0" borderId="0" xfId="0" applyFont="1" applyAlignment="1" applyProtection="1" quotePrefix="1">
      <alignment/>
      <protection/>
    </xf>
    <xf numFmtId="0" fontId="12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8" fillId="0" borderId="0" xfId="0" applyFont="1" applyAlignment="1" applyProtection="1" quotePrefix="1">
      <alignment horizontal="right"/>
      <protection/>
    </xf>
    <xf numFmtId="0" fontId="2" fillId="3" borderId="0" xfId="0" applyFont="1" applyFill="1" applyAlignment="1" applyProtection="1" quotePrefix="1">
      <alignment horizontal="center"/>
      <protection/>
    </xf>
    <xf numFmtId="2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4" borderId="0" xfId="0" applyFont="1" applyFill="1" applyAlignment="1" applyProtection="1" quotePrefix="1">
      <alignment horizontal="center"/>
      <protection/>
    </xf>
    <xf numFmtId="2" fontId="8" fillId="0" borderId="0" xfId="0" applyNumberFormat="1" applyFont="1" applyFill="1" applyAlignment="1" applyProtection="1">
      <alignment/>
      <protection/>
    </xf>
    <xf numFmtId="16" fontId="1" fillId="0" borderId="3" xfId="0" applyNumberFormat="1" applyFont="1" applyFill="1" applyBorder="1" applyAlignment="1" applyProtection="1" quotePrefix="1">
      <alignment horizontal="right"/>
      <protection/>
    </xf>
    <xf numFmtId="16" fontId="7" fillId="5" borderId="3" xfId="0" applyNumberFormat="1" applyFont="1" applyFill="1" applyBorder="1" applyAlignment="1" applyProtection="1" quotePrefix="1">
      <alignment horizontal="center"/>
      <protection/>
    </xf>
    <xf numFmtId="2" fontId="0" fillId="0" borderId="3" xfId="0" applyNumberFormat="1" applyFont="1" applyFill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4" borderId="0" xfId="0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3" borderId="0" xfId="0" applyFill="1" applyAlignment="1" applyProtection="1" quotePrefix="1">
      <alignment horizontal="center"/>
      <protection/>
    </xf>
    <xf numFmtId="0" fontId="0" fillId="6" borderId="0" xfId="0" applyFill="1" applyAlignment="1" applyProtection="1" quotePrefix="1">
      <alignment horizontal="center"/>
      <protection/>
    </xf>
    <xf numFmtId="0" fontId="0" fillId="5" borderId="0" xfId="0" applyFill="1" applyAlignment="1" applyProtection="1" quotePrefix="1">
      <alignment horizontal="center"/>
      <protection/>
    </xf>
    <xf numFmtId="0" fontId="1" fillId="0" borderId="4" xfId="0" applyFont="1" applyFill="1" applyBorder="1" applyAlignment="1" applyProtection="1" quotePrefix="1">
      <alignment horizontal="right"/>
      <protection/>
    </xf>
    <xf numFmtId="0" fontId="7" fillId="5" borderId="4" xfId="0" applyFont="1" applyFill="1" applyBorder="1" applyAlignment="1" applyProtection="1" quotePrefix="1">
      <alignment horizontal="center"/>
      <protection/>
    </xf>
    <xf numFmtId="2" fontId="0" fillId="0" borderId="4" xfId="0" applyNumberFormat="1" applyFont="1" applyFill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/>
      <protection/>
    </xf>
    <xf numFmtId="2" fontId="0" fillId="0" borderId="0" xfId="0" applyNumberFormat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19" fillId="0" borderId="0" xfId="0" applyNumberFormat="1" applyFont="1" applyAlignment="1" applyProtection="1">
      <alignment/>
      <protection/>
    </xf>
    <xf numFmtId="0" fontId="1" fillId="0" borderId="0" xfId="0" applyFont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B130"/>
  <sheetViews>
    <sheetView tabSelected="1" zoomScale="85" zoomScaleNormal="85" workbookViewId="0" topLeftCell="A1">
      <selection activeCell="D6" sqref="D6"/>
    </sheetView>
  </sheetViews>
  <sheetFormatPr defaultColWidth="11.421875" defaultRowHeight="12.75"/>
  <cols>
    <col min="1" max="1" width="1.57421875" style="13" customWidth="1"/>
    <col min="2" max="2" width="9.8515625" style="13" customWidth="1"/>
    <col min="3" max="3" width="3.00390625" style="13" customWidth="1"/>
    <col min="4" max="4" width="12.8515625" style="13" customWidth="1"/>
    <col min="5" max="5" width="7.57421875" style="13" hidden="1" customWidth="1"/>
    <col min="6" max="6" width="7.140625" style="13" hidden="1" customWidth="1"/>
    <col min="7" max="7" width="14.28125" style="13" customWidth="1"/>
    <col min="8" max="8" width="7.421875" style="13" hidden="1" customWidth="1"/>
    <col min="9" max="9" width="7.57421875" style="13" hidden="1" customWidth="1"/>
    <col min="10" max="10" width="13.57421875" style="13" customWidth="1"/>
    <col min="11" max="11" width="7.57421875" style="13" customWidth="1"/>
    <col min="12" max="12" width="7.140625" style="13" customWidth="1"/>
    <col min="13" max="13" width="12.00390625" style="13" customWidth="1"/>
    <col min="14" max="14" width="12.421875" style="13" customWidth="1"/>
    <col min="15" max="15" width="12.28125" style="13" customWidth="1"/>
    <col min="16" max="16" width="27.28125" style="13" customWidth="1"/>
    <col min="17" max="17" width="8.8515625" style="13" customWidth="1"/>
    <col min="18" max="18" width="11.7109375" style="13" customWidth="1"/>
    <col min="19" max="19" width="11.57421875" style="13" customWidth="1"/>
    <col min="20" max="20" width="9.7109375" style="13" customWidth="1"/>
    <col min="21" max="21" width="9.140625" style="13" customWidth="1"/>
    <col min="22" max="22" width="53.7109375" style="13" customWidth="1"/>
    <col min="23" max="23" width="9.140625" style="13" customWidth="1"/>
    <col min="24" max="24" width="5.421875" style="13" customWidth="1"/>
    <col min="25" max="26" width="6.140625" style="13" customWidth="1"/>
    <col min="27" max="16384" width="9.140625" style="13" customWidth="1"/>
  </cols>
  <sheetData>
    <row r="1" ht="6" customHeight="1"/>
    <row r="2" spans="4:16" ht="25.5" customHeight="1">
      <c r="D2" s="14">
        <f>IF(Q37&gt;T108,"&gt; 2/8 frm adj","")</f>
      </c>
      <c r="G2" s="15" t="s">
        <v>68</v>
      </c>
      <c r="P2" s="13" t="s">
        <v>110</v>
      </c>
    </row>
    <row r="3" spans="4:16" ht="12.75">
      <c r="D3" s="16" t="s">
        <v>69</v>
      </c>
      <c r="P3" s="13" t="s">
        <v>73</v>
      </c>
    </row>
    <row r="4" spans="2:16" ht="12.75">
      <c r="B4" s="17" t="s">
        <v>5</v>
      </c>
      <c r="C4" s="17"/>
      <c r="D4" s="10">
        <v>1092</v>
      </c>
      <c r="G4" s="17" t="s">
        <v>6</v>
      </c>
      <c r="H4" s="19"/>
      <c r="I4" s="19"/>
      <c r="J4" s="20">
        <f>Q43</f>
        <v>1000</v>
      </c>
      <c r="M4" s="21" t="s">
        <v>61</v>
      </c>
      <c r="O4" s="20">
        <f>Q113</f>
        <v>4</v>
      </c>
      <c r="P4" s="13" t="s">
        <v>74</v>
      </c>
    </row>
    <row r="5" spans="2:15" ht="12.75">
      <c r="B5" s="17" t="s">
        <v>4</v>
      </c>
      <c r="C5" s="17"/>
      <c r="D5" s="11">
        <v>1085</v>
      </c>
      <c r="G5" s="17" t="s">
        <v>8</v>
      </c>
      <c r="H5" s="19"/>
      <c r="I5" s="19"/>
      <c r="J5" s="23">
        <f>Q63</f>
        <v>1.953125</v>
      </c>
      <c r="M5" s="21" t="s">
        <v>62</v>
      </c>
      <c r="O5" s="23">
        <f>R114</f>
        <v>0.9765625</v>
      </c>
    </row>
    <row r="6" spans="4:10" ht="12.75">
      <c r="D6" s="24">
        <f>D67</f>
      </c>
      <c r="G6" s="25"/>
      <c r="J6" s="25"/>
    </row>
    <row r="7" spans="7:15" ht="12.75">
      <c r="G7" s="19" t="s">
        <v>3</v>
      </c>
      <c r="H7" s="19"/>
      <c r="I7" s="19"/>
      <c r="J7" s="19" t="s">
        <v>2</v>
      </c>
      <c r="K7" s="19"/>
      <c r="L7" s="19"/>
      <c r="M7" s="19" t="s">
        <v>1</v>
      </c>
      <c r="N7" s="19"/>
      <c r="O7" s="26" t="s">
        <v>0</v>
      </c>
    </row>
    <row r="8" spans="2:15" ht="12.75">
      <c r="B8" s="17" t="s">
        <v>12</v>
      </c>
      <c r="C8" s="17"/>
      <c r="D8" s="17" t="s">
        <v>67</v>
      </c>
      <c r="E8" s="17">
        <f>IF($Q$54&gt;=3,J8/8,"")</f>
        <v>1.953125</v>
      </c>
      <c r="F8" s="21">
        <f>IF(AND($O$4=8,$J$5=E8),"",E8)</f>
        <v>1.953125</v>
      </c>
      <c r="G8" s="21">
        <f>F8</f>
        <v>1.953125</v>
      </c>
      <c r="H8" s="17">
        <f>IF($Q$54&gt;=2,M8/8,"")</f>
        <v>15.625</v>
      </c>
      <c r="I8" s="21">
        <f>IF(AND($O$4=8,$J$5=H8),"",H8)</f>
        <v>15.625</v>
      </c>
      <c r="J8" s="21">
        <f>I8</f>
        <v>15.625</v>
      </c>
      <c r="K8" s="17">
        <f>IF($Q$54&gt;=1,O8/8,"")</f>
        <v>125</v>
      </c>
      <c r="L8" s="21">
        <f>IF(AND($O$4=8,$J$5=K8),"",K8)</f>
        <v>125</v>
      </c>
      <c r="M8" s="21">
        <f>L8</f>
        <v>125</v>
      </c>
      <c r="N8" s="21"/>
      <c r="O8" s="21">
        <f>Q43</f>
        <v>1000</v>
      </c>
    </row>
    <row r="9" spans="2:15" ht="12.75">
      <c r="B9" s="27"/>
      <c r="C9" s="27"/>
      <c r="D9" s="27"/>
      <c r="E9" s="28">
        <f>INT($D$10/G$8)*G$8+(INT(E10)+1)*(G$8/8)</f>
        <v>1095.947265625</v>
      </c>
      <c r="F9" s="28">
        <f>IF(AND(F10&lt;&gt;"",MAX(G10:G22))=0,TEXT(INT(E10)+1,0)&amp;" = "&amp;TEXT(E9,0),"")</f>
      </c>
      <c r="G9" s="29">
        <f aca="true" t="shared" si="0" ref="G9:G22">IF(ISERR(F9),"",F9)</f>
      </c>
      <c r="H9" s="30">
        <f>INT($D$10/H$8)*H$8+(INT(H10)+1)*(H$8/8)</f>
        <v>1097.65625</v>
      </c>
      <c r="I9" s="30">
        <f>IF(AND(I10&lt;&gt;"",MAX(J10:J22)=0),TEXT(INT(H10)+1,0)&amp;" = "&amp;TEXT(H9,0),"")</f>
      </c>
      <c r="J9" s="31">
        <f aca="true" t="shared" si="1" ref="J9:J23">IF(ISERR(I9),"",I9)</f>
      </c>
      <c r="K9" s="30">
        <f>INT($D$10/M$8)*M$8+(INT(K10)+1)*(M$8/8)</f>
        <v>1109.375</v>
      </c>
      <c r="L9" s="30">
        <f>IF(AND(L10&lt;&gt;"",MAX(M10:M22)=0),TEXT(INT(K10)+1,0)&amp;" = "&amp;TEXT(K9,0),"")</f>
      </c>
      <c r="M9" s="31">
        <f aca="true" t="shared" si="2" ref="M9:M23">IF(ISERR(L9),"",L9)</f>
      </c>
      <c r="N9" s="30">
        <f>INT($D$10/O$8)*O$8+(INT(N10)+1)*(O$8/8)</f>
        <v>1125</v>
      </c>
      <c r="O9" s="31" t="str">
        <f>IF(MAX(O10:O22)=0,TEXT(INT(N10)+1,0)&amp;" = "&amp;TEXT(N9,0),"")</f>
        <v>1 = 1125</v>
      </c>
    </row>
    <row r="10" spans="2:15" ht="12.75">
      <c r="B10" s="32" t="s">
        <v>63</v>
      </c>
      <c r="C10" s="33"/>
      <c r="D10" s="34">
        <f>D11+$R$109</f>
        <v>1095.703125</v>
      </c>
      <c r="E10" s="35">
        <f aca="true" t="shared" si="3" ref="E10:E22">(($D10/G$8)-INT($D10/G$8))*8</f>
        <v>0</v>
      </c>
      <c r="F10" s="35">
        <f aca="true" t="shared" si="4" ref="F10:F22">IF(F$8&lt;&gt;"",IF(E10-INT(E10)=0,E10,""),"")</f>
        <v>0</v>
      </c>
      <c r="G10" s="35">
        <f t="shared" si="0"/>
        <v>0</v>
      </c>
      <c r="H10" s="35">
        <f aca="true" t="shared" si="5" ref="H10:H22">(($D10/H$8)-INT($D10/H$8))*8</f>
        <v>1</v>
      </c>
      <c r="I10" s="35">
        <f aca="true" t="shared" si="6" ref="I10:I22">IF(I$8&lt;&gt;"",IF(H10-INT(H10)=0,H10,""),"")</f>
        <v>1</v>
      </c>
      <c r="J10" s="35">
        <f t="shared" si="1"/>
        <v>1</v>
      </c>
      <c r="K10" s="35">
        <f aca="true" t="shared" si="7" ref="K10:K22">(($D10/M$8)-INT($D10/M$8))*8</f>
        <v>6.125</v>
      </c>
      <c r="L10" s="35">
        <f aca="true" t="shared" si="8" ref="L10:L22">IF(L$8&lt;&gt;"",IF(K10-INT(K10)=0,K10,""),"")</f>
      </c>
      <c r="M10" s="36">
        <f t="shared" si="2"/>
      </c>
      <c r="N10" s="35">
        <f aca="true" t="shared" si="9" ref="N10:N22">(($D10/O$8)-INT($D10/O$8))*8</f>
        <v>0.765625</v>
      </c>
      <c r="O10" s="35">
        <f>IF(N10-INT(N10)=0,N10,"")</f>
      </c>
    </row>
    <row r="11" spans="2:15" ht="12.75">
      <c r="B11" s="32" t="s">
        <v>64</v>
      </c>
      <c r="C11" s="37"/>
      <c r="D11" s="38">
        <f>D12+$R$109</f>
        <v>1094.7265625</v>
      </c>
      <c r="E11" s="35">
        <f t="shared" si="3"/>
        <v>4</v>
      </c>
      <c r="F11" s="35">
        <f t="shared" si="4"/>
        <v>4</v>
      </c>
      <c r="G11" s="35">
        <f t="shared" si="0"/>
        <v>4</v>
      </c>
      <c r="H11" s="35">
        <f t="shared" si="5"/>
        <v>0.5</v>
      </c>
      <c r="I11" s="35">
        <f t="shared" si="6"/>
      </c>
      <c r="J11" s="35">
        <f t="shared" si="1"/>
      </c>
      <c r="K11" s="35">
        <f t="shared" si="7"/>
        <v>6.0625</v>
      </c>
      <c r="L11" s="35">
        <f t="shared" si="8"/>
      </c>
      <c r="M11" s="36">
        <f t="shared" si="2"/>
      </c>
      <c r="N11" s="35">
        <f t="shared" si="9"/>
        <v>0.7578125</v>
      </c>
      <c r="O11" s="35">
        <f aca="true" t="shared" si="10" ref="O11:O22">IF(N11-INT(N11)=0,N11,"")</f>
      </c>
    </row>
    <row r="12" spans="2:15" ht="12.75">
      <c r="B12" s="39" t="s">
        <v>49</v>
      </c>
      <c r="C12" s="40"/>
      <c r="D12" s="41">
        <f>S113</f>
        <v>1093.75</v>
      </c>
      <c r="E12" s="42">
        <f t="shared" si="3"/>
        <v>0</v>
      </c>
      <c r="F12" s="42">
        <f t="shared" si="4"/>
        <v>0</v>
      </c>
      <c r="G12" s="43">
        <f t="shared" si="0"/>
        <v>0</v>
      </c>
      <c r="H12" s="42">
        <f t="shared" si="5"/>
        <v>0</v>
      </c>
      <c r="I12" s="42">
        <f t="shared" si="6"/>
        <v>0</v>
      </c>
      <c r="J12" s="43">
        <f t="shared" si="1"/>
        <v>0</v>
      </c>
      <c r="K12" s="42">
        <f t="shared" si="7"/>
        <v>6</v>
      </c>
      <c r="L12" s="42">
        <f t="shared" si="8"/>
        <v>6</v>
      </c>
      <c r="M12" s="44">
        <f t="shared" si="2"/>
        <v>6</v>
      </c>
      <c r="N12" s="42">
        <f t="shared" si="9"/>
        <v>0.75</v>
      </c>
      <c r="O12" s="43">
        <f t="shared" si="10"/>
      </c>
    </row>
    <row r="13" spans="2:15" ht="12.75">
      <c r="B13" s="45" t="s">
        <v>50</v>
      </c>
      <c r="C13" s="46"/>
      <c r="D13" s="47">
        <f aca="true" t="shared" si="11" ref="D13:D19">D14+$R$109</f>
        <v>1092.7734375</v>
      </c>
      <c r="E13" s="48">
        <f t="shared" si="3"/>
        <v>4</v>
      </c>
      <c r="F13" s="48">
        <f t="shared" si="4"/>
        <v>4</v>
      </c>
      <c r="G13" s="49">
        <f t="shared" si="0"/>
        <v>4</v>
      </c>
      <c r="H13" s="48">
        <f t="shared" si="5"/>
        <v>7.5</v>
      </c>
      <c r="I13" s="48">
        <f t="shared" si="6"/>
      </c>
      <c r="J13" s="49">
        <f t="shared" si="1"/>
      </c>
      <c r="K13" s="48">
        <f t="shared" si="7"/>
        <v>5.9375</v>
      </c>
      <c r="L13" s="48">
        <f t="shared" si="8"/>
      </c>
      <c r="M13" s="50">
        <f t="shared" si="2"/>
      </c>
      <c r="N13" s="48">
        <f t="shared" si="9"/>
        <v>0.7421875</v>
      </c>
      <c r="O13" s="49">
        <f t="shared" si="10"/>
      </c>
    </row>
    <row r="14" spans="2:15" ht="12.75">
      <c r="B14" s="45" t="s">
        <v>51</v>
      </c>
      <c r="C14" s="51"/>
      <c r="D14" s="47">
        <f t="shared" si="11"/>
        <v>1091.796875</v>
      </c>
      <c r="E14" s="48">
        <f t="shared" si="3"/>
        <v>0</v>
      </c>
      <c r="F14" s="48">
        <f t="shared" si="4"/>
        <v>0</v>
      </c>
      <c r="G14" s="49">
        <f t="shared" si="0"/>
        <v>0</v>
      </c>
      <c r="H14" s="48">
        <f t="shared" si="5"/>
        <v>7</v>
      </c>
      <c r="I14" s="48">
        <f t="shared" si="6"/>
        <v>7</v>
      </c>
      <c r="J14" s="49">
        <f t="shared" si="1"/>
        <v>7</v>
      </c>
      <c r="K14" s="48">
        <f t="shared" si="7"/>
        <v>5.875</v>
      </c>
      <c r="L14" s="48">
        <f t="shared" si="8"/>
      </c>
      <c r="M14" s="50">
        <f t="shared" si="2"/>
      </c>
      <c r="N14" s="48">
        <f t="shared" si="9"/>
        <v>0.734375</v>
      </c>
      <c r="O14" s="49">
        <f t="shared" si="10"/>
      </c>
    </row>
    <row r="15" spans="2:15" ht="12.75">
      <c r="B15" s="45" t="s">
        <v>52</v>
      </c>
      <c r="C15" s="52"/>
      <c r="D15" s="47">
        <f t="shared" si="11"/>
        <v>1090.8203125</v>
      </c>
      <c r="E15" s="48">
        <f t="shared" si="3"/>
        <v>4</v>
      </c>
      <c r="F15" s="48">
        <f t="shared" si="4"/>
        <v>4</v>
      </c>
      <c r="G15" s="49">
        <f t="shared" si="0"/>
        <v>4</v>
      </c>
      <c r="H15" s="48">
        <f t="shared" si="5"/>
        <v>6.5</v>
      </c>
      <c r="I15" s="48">
        <f t="shared" si="6"/>
      </c>
      <c r="J15" s="49">
        <f t="shared" si="1"/>
      </c>
      <c r="K15" s="48">
        <f t="shared" si="7"/>
        <v>5.8125</v>
      </c>
      <c r="L15" s="48">
        <f t="shared" si="8"/>
      </c>
      <c r="M15" s="50">
        <f t="shared" si="2"/>
      </c>
      <c r="N15" s="48">
        <f t="shared" si="9"/>
        <v>0.7265625</v>
      </c>
      <c r="O15" s="49">
        <f t="shared" si="10"/>
      </c>
    </row>
    <row r="16" spans="2:15" ht="12.75">
      <c r="B16" s="45" t="s">
        <v>53</v>
      </c>
      <c r="C16" s="53"/>
      <c r="D16" s="47">
        <f t="shared" si="11"/>
        <v>1089.84375</v>
      </c>
      <c r="E16" s="48">
        <f t="shared" si="3"/>
        <v>0</v>
      </c>
      <c r="F16" s="48">
        <f t="shared" si="4"/>
        <v>0</v>
      </c>
      <c r="G16" s="49">
        <f t="shared" si="0"/>
        <v>0</v>
      </c>
      <c r="H16" s="48">
        <f t="shared" si="5"/>
        <v>6</v>
      </c>
      <c r="I16" s="48">
        <f t="shared" si="6"/>
        <v>6</v>
      </c>
      <c r="J16" s="49">
        <f t="shared" si="1"/>
        <v>6</v>
      </c>
      <c r="K16" s="48">
        <f t="shared" si="7"/>
        <v>5.75</v>
      </c>
      <c r="L16" s="48">
        <f t="shared" si="8"/>
      </c>
      <c r="M16" s="50">
        <f t="shared" si="2"/>
      </c>
      <c r="N16" s="48">
        <f t="shared" si="9"/>
        <v>0.71875</v>
      </c>
      <c r="O16" s="49">
        <f t="shared" si="10"/>
      </c>
    </row>
    <row r="17" spans="2:15" ht="12.75">
      <c r="B17" s="45" t="s">
        <v>54</v>
      </c>
      <c r="C17" s="52"/>
      <c r="D17" s="47">
        <f t="shared" si="11"/>
        <v>1088.8671875</v>
      </c>
      <c r="E17" s="48">
        <f t="shared" si="3"/>
        <v>4</v>
      </c>
      <c r="F17" s="48">
        <f t="shared" si="4"/>
        <v>4</v>
      </c>
      <c r="G17" s="49">
        <f t="shared" si="0"/>
        <v>4</v>
      </c>
      <c r="H17" s="48">
        <f t="shared" si="5"/>
        <v>5.5</v>
      </c>
      <c r="I17" s="48">
        <f t="shared" si="6"/>
      </c>
      <c r="J17" s="49">
        <f t="shared" si="1"/>
      </c>
      <c r="K17" s="48">
        <f t="shared" si="7"/>
        <v>5.6875</v>
      </c>
      <c r="L17" s="48">
        <f t="shared" si="8"/>
      </c>
      <c r="M17" s="50">
        <f t="shared" si="2"/>
      </c>
      <c r="N17" s="48">
        <f t="shared" si="9"/>
        <v>0.7109375</v>
      </c>
      <c r="O17" s="49">
        <f t="shared" si="10"/>
      </c>
    </row>
    <row r="18" spans="2:15" ht="12.75">
      <c r="B18" s="45" t="s">
        <v>55</v>
      </c>
      <c r="C18" s="51"/>
      <c r="D18" s="47">
        <f t="shared" si="11"/>
        <v>1087.890625</v>
      </c>
      <c r="E18" s="48">
        <f t="shared" si="3"/>
        <v>0</v>
      </c>
      <c r="F18" s="48">
        <f t="shared" si="4"/>
        <v>0</v>
      </c>
      <c r="G18" s="49">
        <f t="shared" si="0"/>
        <v>0</v>
      </c>
      <c r="H18" s="48">
        <f t="shared" si="5"/>
        <v>5</v>
      </c>
      <c r="I18" s="48">
        <f t="shared" si="6"/>
        <v>5</v>
      </c>
      <c r="J18" s="49">
        <f t="shared" si="1"/>
        <v>5</v>
      </c>
      <c r="K18" s="48">
        <f t="shared" si="7"/>
        <v>5.625</v>
      </c>
      <c r="L18" s="48">
        <f t="shared" si="8"/>
      </c>
      <c r="M18" s="50">
        <f t="shared" si="2"/>
      </c>
      <c r="N18" s="48">
        <f t="shared" si="9"/>
        <v>0.703125</v>
      </c>
      <c r="O18" s="49">
        <f t="shared" si="10"/>
      </c>
    </row>
    <row r="19" spans="2:15" ht="12.75">
      <c r="B19" s="45" t="s">
        <v>56</v>
      </c>
      <c r="C19" s="46"/>
      <c r="D19" s="47">
        <f t="shared" si="11"/>
        <v>1086.9140625</v>
      </c>
      <c r="E19" s="48">
        <f t="shared" si="3"/>
        <v>4</v>
      </c>
      <c r="F19" s="48">
        <f t="shared" si="4"/>
        <v>4</v>
      </c>
      <c r="G19" s="49">
        <f t="shared" si="0"/>
        <v>4</v>
      </c>
      <c r="H19" s="48">
        <f t="shared" si="5"/>
        <v>4.5</v>
      </c>
      <c r="I19" s="48">
        <f t="shared" si="6"/>
      </c>
      <c r="J19" s="49">
        <f t="shared" si="1"/>
      </c>
      <c r="K19" s="48">
        <f t="shared" si="7"/>
        <v>5.5625</v>
      </c>
      <c r="L19" s="48">
        <f t="shared" si="8"/>
      </c>
      <c r="M19" s="50">
        <f t="shared" si="2"/>
      </c>
      <c r="N19" s="48">
        <f t="shared" si="9"/>
        <v>0.6953125</v>
      </c>
      <c r="O19" s="49">
        <f t="shared" si="10"/>
      </c>
    </row>
    <row r="20" spans="2:15" ht="12.75">
      <c r="B20" s="54" t="s">
        <v>57</v>
      </c>
      <c r="C20" s="55"/>
      <c r="D20" s="56">
        <f>R113</f>
        <v>1085.9375</v>
      </c>
      <c r="E20" s="57">
        <f t="shared" si="3"/>
        <v>0</v>
      </c>
      <c r="F20" s="57">
        <f t="shared" si="4"/>
        <v>0</v>
      </c>
      <c r="G20" s="58">
        <f t="shared" si="0"/>
        <v>0</v>
      </c>
      <c r="H20" s="57">
        <f t="shared" si="5"/>
        <v>4</v>
      </c>
      <c r="I20" s="57">
        <f t="shared" si="6"/>
        <v>4</v>
      </c>
      <c r="J20" s="58">
        <f t="shared" si="1"/>
        <v>4</v>
      </c>
      <c r="K20" s="57">
        <f t="shared" si="7"/>
        <v>5.5</v>
      </c>
      <c r="L20" s="57">
        <f t="shared" si="8"/>
      </c>
      <c r="M20" s="59">
        <f t="shared" si="2"/>
      </c>
      <c r="N20" s="57">
        <f t="shared" si="9"/>
        <v>0.6875</v>
      </c>
      <c r="O20" s="58">
        <f t="shared" si="10"/>
      </c>
    </row>
    <row r="21" spans="2:15" ht="12.75">
      <c r="B21" s="32" t="s">
        <v>66</v>
      </c>
      <c r="C21" s="37"/>
      <c r="D21" s="38">
        <f>D20-$R$109</f>
        <v>1084.9609375</v>
      </c>
      <c r="E21" s="35">
        <f t="shared" si="3"/>
        <v>4</v>
      </c>
      <c r="F21" s="35">
        <f t="shared" si="4"/>
        <v>4</v>
      </c>
      <c r="G21" s="35">
        <f t="shared" si="0"/>
        <v>4</v>
      </c>
      <c r="H21" s="35">
        <f t="shared" si="5"/>
        <v>3.5</v>
      </c>
      <c r="I21" s="35">
        <f t="shared" si="6"/>
      </c>
      <c r="J21" s="35">
        <f t="shared" si="1"/>
      </c>
      <c r="K21" s="35">
        <f t="shared" si="7"/>
        <v>5.4375</v>
      </c>
      <c r="L21" s="35">
        <f t="shared" si="8"/>
      </c>
      <c r="M21" s="36">
        <f t="shared" si="2"/>
      </c>
      <c r="N21" s="35">
        <f t="shared" si="9"/>
        <v>0.6796875</v>
      </c>
      <c r="O21" s="35">
        <f t="shared" si="10"/>
      </c>
    </row>
    <row r="22" spans="2:15" ht="12.75">
      <c r="B22" s="32" t="s">
        <v>65</v>
      </c>
      <c r="C22" s="33"/>
      <c r="D22" s="34">
        <f>D21-$R$109</f>
        <v>1083.984375</v>
      </c>
      <c r="E22" s="35">
        <f t="shared" si="3"/>
        <v>0</v>
      </c>
      <c r="F22" s="35">
        <f t="shared" si="4"/>
        <v>0</v>
      </c>
      <c r="G22" s="35">
        <f t="shared" si="0"/>
        <v>0</v>
      </c>
      <c r="H22" s="35">
        <f t="shared" si="5"/>
        <v>3</v>
      </c>
      <c r="I22" s="35">
        <f t="shared" si="6"/>
        <v>3</v>
      </c>
      <c r="J22" s="35">
        <f t="shared" si="1"/>
        <v>3</v>
      </c>
      <c r="K22" s="35">
        <f t="shared" si="7"/>
        <v>5.375</v>
      </c>
      <c r="L22" s="35">
        <f t="shared" si="8"/>
      </c>
      <c r="M22" s="36">
        <f t="shared" si="2"/>
      </c>
      <c r="N22" s="35">
        <f t="shared" si="9"/>
        <v>0.671875</v>
      </c>
      <c r="O22" s="35">
        <f t="shared" si="10"/>
      </c>
    </row>
    <row r="23" spans="2:15" ht="13.5" thickBot="1">
      <c r="B23" s="29"/>
      <c r="C23" s="29"/>
      <c r="D23" s="29"/>
      <c r="E23" s="29"/>
      <c r="F23" s="29"/>
      <c r="G23" s="29"/>
      <c r="H23" s="30">
        <f>INT($D22/H$8)*H$8+INT(H22)*(H$8/8)</f>
        <v>1083.984375</v>
      </c>
      <c r="I23" s="30">
        <f>IF(AND(I22&lt;&gt;"",MAX(J10:J22)=0),TEXT(INT(H22),0)&amp;" = "&amp;TEXT(H23,0),"")</f>
      </c>
      <c r="J23" s="31">
        <f t="shared" si="1"/>
      </c>
      <c r="K23" s="30">
        <f>INT($D22/M$8)*M$8+INT(K22)*(M$8/8)</f>
        <v>1078.125</v>
      </c>
      <c r="L23" s="30">
        <f>IF(AND(L22&lt;&gt;"",MAX(M10:M22)=0),TEXT(INT(K22),0)&amp;" = "&amp;TEXT(K23,0),"")</f>
      </c>
      <c r="M23" s="31">
        <f t="shared" si="2"/>
      </c>
      <c r="N23" s="30">
        <f>INT($D22/O$8)*O$8+INT(N22)*(O$8/8)</f>
        <v>1000</v>
      </c>
      <c r="O23" s="31" t="str">
        <f>IF(MAX(O10:O22)=0,TEXT(INT(N22),0)&amp;" = "&amp;TEXT(N23,0),"")</f>
        <v>0 = 1000</v>
      </c>
    </row>
    <row r="24" spans="2:19" ht="6.75" customHeight="1" thickBo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6" ht="20.25">
      <c r="G26" s="61" t="s">
        <v>70</v>
      </c>
    </row>
    <row r="27" ht="12.75">
      <c r="G27" s="13" t="s">
        <v>71</v>
      </c>
    </row>
    <row r="28" ht="12.75">
      <c r="G28" s="13" t="s">
        <v>72</v>
      </c>
    </row>
    <row r="29" ht="12.75">
      <c r="G29" s="13" t="s">
        <v>111</v>
      </c>
    </row>
    <row r="34" spans="15:16" ht="12.75">
      <c r="O34" s="13" t="s">
        <v>75</v>
      </c>
      <c r="P34" s="13" t="s">
        <v>76</v>
      </c>
    </row>
    <row r="35" ht="12.75">
      <c r="P35" s="62" t="s">
        <v>79</v>
      </c>
    </row>
    <row r="37" spans="16:22" ht="12.75">
      <c r="P37" s="17" t="s">
        <v>77</v>
      </c>
      <c r="Q37" s="18">
        <f>D4*1</f>
        <v>1092</v>
      </c>
      <c r="V37" s="21"/>
    </row>
    <row r="38" spans="16:17" ht="12.75">
      <c r="P38" s="17" t="s">
        <v>78</v>
      </c>
      <c r="Q38" s="22">
        <f>D5*1</f>
        <v>1085</v>
      </c>
    </row>
    <row r="40" spans="2:17" ht="12.75">
      <c r="B40" s="63" t="s">
        <v>7</v>
      </c>
      <c r="C40" s="63"/>
      <c r="J40" s="64" t="s">
        <v>5</v>
      </c>
      <c r="K40" s="65"/>
      <c r="L40" s="65"/>
      <c r="M40" s="64" t="s">
        <v>4</v>
      </c>
      <c r="O40" s="13" t="s">
        <v>19</v>
      </c>
      <c r="P40" s="13" t="s">
        <v>9</v>
      </c>
      <c r="Q40" s="21">
        <f>Q37-Q38</f>
        <v>7</v>
      </c>
    </row>
    <row r="41" spans="2:13" ht="12.75">
      <c r="B41" s="13">
        <v>250000</v>
      </c>
      <c r="D41" s="13">
        <v>25000</v>
      </c>
      <c r="G41" s="13">
        <v>100000</v>
      </c>
      <c r="J41" s="64">
        <f aca="true" t="shared" si="12" ref="J41:J50">IF(AND(Q$37&lt;=B41,Q$37&gt;D41),G41,"")</f>
      </c>
      <c r="K41" s="64"/>
      <c r="L41" s="64"/>
      <c r="M41" s="64">
        <f aca="true" t="shared" si="13" ref="M41:M50">IF(AND(Q$38&lt;=B41,Q$38&gt;D41),G41,"")</f>
      </c>
    </row>
    <row r="42" spans="2:22" ht="12.75">
      <c r="B42" s="13">
        <f aca="true" t="shared" si="14" ref="B42:B50">D41</f>
        <v>25000</v>
      </c>
      <c r="D42" s="13">
        <f>B42/10</f>
        <v>2500</v>
      </c>
      <c r="G42" s="13">
        <f>G41/10</f>
        <v>10000</v>
      </c>
      <c r="J42" s="64">
        <f t="shared" si="12"/>
      </c>
      <c r="K42" s="64"/>
      <c r="L42" s="64"/>
      <c r="M42" s="64">
        <f t="shared" si="13"/>
      </c>
      <c r="N42" s="66"/>
      <c r="O42" s="67" t="s">
        <v>20</v>
      </c>
      <c r="P42" s="67" t="s">
        <v>29</v>
      </c>
      <c r="V42" s="21"/>
    </row>
    <row r="43" spans="2:17" ht="12.75">
      <c r="B43" s="13">
        <f t="shared" si="14"/>
        <v>2500</v>
      </c>
      <c r="D43" s="13">
        <f>B43/10</f>
        <v>250</v>
      </c>
      <c r="G43" s="13">
        <f>G42/10</f>
        <v>1000</v>
      </c>
      <c r="J43" s="64">
        <f t="shared" si="12"/>
        <v>1000</v>
      </c>
      <c r="K43" s="64"/>
      <c r="L43" s="64"/>
      <c r="M43" s="64">
        <f t="shared" si="13"/>
        <v>1000</v>
      </c>
      <c r="N43" s="66"/>
      <c r="P43" s="13" t="s">
        <v>11</v>
      </c>
      <c r="Q43" s="21">
        <f>MAX(J41:J52)</f>
        <v>1000</v>
      </c>
    </row>
    <row r="44" spans="2:14" ht="12.75">
      <c r="B44" s="13">
        <f t="shared" si="14"/>
        <v>250</v>
      </c>
      <c r="D44" s="13">
        <f>B44/10</f>
        <v>25</v>
      </c>
      <c r="G44" s="13">
        <f>G43/10</f>
        <v>100</v>
      </c>
      <c r="J44" s="64">
        <f t="shared" si="12"/>
      </c>
      <c r="K44" s="64"/>
      <c r="L44" s="64"/>
      <c r="M44" s="64">
        <f t="shared" si="13"/>
      </c>
      <c r="N44" s="21"/>
    </row>
    <row r="45" spans="2:16" ht="12.75">
      <c r="B45" s="13">
        <f t="shared" si="14"/>
        <v>25</v>
      </c>
      <c r="D45" s="13">
        <v>12.5</v>
      </c>
      <c r="G45" s="13">
        <v>12.5</v>
      </c>
      <c r="J45" s="64">
        <f t="shared" si="12"/>
      </c>
      <c r="K45" s="64"/>
      <c r="L45" s="64"/>
      <c r="M45" s="64">
        <f t="shared" si="13"/>
      </c>
      <c r="N45" s="21"/>
      <c r="O45" s="67" t="s">
        <v>21</v>
      </c>
      <c r="P45" s="67" t="s">
        <v>28</v>
      </c>
    </row>
    <row r="46" spans="2:18" ht="12.75">
      <c r="B46" s="13">
        <f t="shared" si="14"/>
        <v>12.5</v>
      </c>
      <c r="D46" s="13">
        <f>B46/2</f>
        <v>6.25</v>
      </c>
      <c r="G46" s="13">
        <v>12.5</v>
      </c>
      <c r="J46" s="64">
        <f t="shared" si="12"/>
      </c>
      <c r="K46" s="64"/>
      <c r="L46" s="64"/>
      <c r="M46" s="64">
        <f t="shared" si="13"/>
      </c>
      <c r="N46" s="21"/>
      <c r="O46" s="67"/>
      <c r="P46" s="67"/>
      <c r="R46" s="68" t="s">
        <v>128</v>
      </c>
    </row>
    <row r="47" spans="2:19" ht="12.75">
      <c r="B47" s="13">
        <f t="shared" si="14"/>
        <v>6.25</v>
      </c>
      <c r="D47" s="13">
        <f>B47/2</f>
        <v>3.125</v>
      </c>
      <c r="G47" s="13">
        <f>D46</f>
        <v>6.25</v>
      </c>
      <c r="J47" s="64">
        <f t="shared" si="12"/>
      </c>
      <c r="K47" s="64"/>
      <c r="L47" s="64"/>
      <c r="M47" s="64">
        <f t="shared" si="13"/>
      </c>
      <c r="N47" s="21"/>
      <c r="P47" s="69" t="s">
        <v>24</v>
      </c>
      <c r="Q47" s="69">
        <f>Q$43/(8^1)</f>
        <v>125</v>
      </c>
      <c r="R47" s="70">
        <f>$Q$40/Q47</f>
        <v>0.056</v>
      </c>
      <c r="S47" s="69">
        <v>1</v>
      </c>
    </row>
    <row r="48" spans="2:19" ht="12.75">
      <c r="B48" s="13">
        <f t="shared" si="14"/>
        <v>3.125</v>
      </c>
      <c r="D48" s="13">
        <f>B48/2</f>
        <v>1.5625</v>
      </c>
      <c r="G48" s="13">
        <f>D47</f>
        <v>3.125</v>
      </c>
      <c r="J48" s="64">
        <f t="shared" si="12"/>
      </c>
      <c r="K48" s="64"/>
      <c r="L48" s="64"/>
      <c r="M48" s="64">
        <f t="shared" si="13"/>
      </c>
      <c r="N48" s="21"/>
      <c r="P48" s="69" t="s">
        <v>25</v>
      </c>
      <c r="Q48" s="69">
        <f>Q$43/(8^2)</f>
        <v>15.625</v>
      </c>
      <c r="R48" s="70">
        <f>IF(R47&gt;1.25,"n/a",$Q$40/Q48)</f>
        <v>0.448</v>
      </c>
      <c r="S48" s="69">
        <f>IF(R48="n/a","",2)</f>
        <v>2</v>
      </c>
    </row>
    <row r="49" spans="2:22" ht="12.75">
      <c r="B49" s="13">
        <f t="shared" si="14"/>
        <v>1.5625</v>
      </c>
      <c r="D49" s="13">
        <v>0.390625</v>
      </c>
      <c r="G49" s="13">
        <f>D48</f>
        <v>1.5625</v>
      </c>
      <c r="J49" s="64">
        <f t="shared" si="12"/>
      </c>
      <c r="K49" s="64"/>
      <c r="L49" s="64"/>
      <c r="M49" s="64">
        <f t="shared" si="13"/>
      </c>
      <c r="N49" s="21"/>
      <c r="P49" s="69" t="s">
        <v>26</v>
      </c>
      <c r="Q49" s="69">
        <f>Q$43/(8^3)</f>
        <v>1.953125</v>
      </c>
      <c r="R49" s="70">
        <f>IF(R48&gt;1.25,"n/a",$Q$40/Q49)</f>
        <v>3.584</v>
      </c>
      <c r="S49" s="69">
        <f>IF(R49="n/a","",3)</f>
        <v>3</v>
      </c>
      <c r="V49" s="21"/>
    </row>
    <row r="50" spans="2:22" ht="12.75">
      <c r="B50" s="13">
        <f t="shared" si="14"/>
        <v>0.390625</v>
      </c>
      <c r="D50" s="13">
        <v>0</v>
      </c>
      <c r="G50" s="13">
        <v>0.1953125</v>
      </c>
      <c r="J50" s="64">
        <f t="shared" si="12"/>
      </c>
      <c r="K50" s="64"/>
      <c r="L50" s="64"/>
      <c r="M50" s="64">
        <f t="shared" si="13"/>
      </c>
      <c r="N50" s="21"/>
      <c r="P50" s="69" t="s">
        <v>112</v>
      </c>
      <c r="Q50" s="69">
        <f>Q$43/(8^4)</f>
        <v>0.244140625</v>
      </c>
      <c r="R50" s="70" t="str">
        <f>IF(R49&gt;1.25,"n/a",$Q$40/Q50)</f>
        <v>n/a</v>
      </c>
      <c r="S50" s="69">
        <f>IF(R50="n/a","",4)</f>
      </c>
      <c r="V50" s="21"/>
    </row>
    <row r="51" spans="14:22" ht="12.75">
      <c r="N51" s="21"/>
      <c r="P51" s="69" t="s">
        <v>113</v>
      </c>
      <c r="Q51" s="69">
        <f>Q$43/(8^5)</f>
        <v>0.030517578125</v>
      </c>
      <c r="R51" s="70" t="str">
        <f>IF(R50&gt;1.25,"n/a",$Q$40/Q51)</f>
        <v>n/a</v>
      </c>
      <c r="S51" s="69">
        <f>IF(R51="n/a","",5)</f>
      </c>
      <c r="V51" s="21"/>
    </row>
    <row r="52" spans="10:22" ht="12.75">
      <c r="J52" s="64"/>
      <c r="K52" s="64"/>
      <c r="L52" s="64"/>
      <c r="M52" s="64"/>
      <c r="N52" s="21"/>
      <c r="P52" s="69" t="s">
        <v>114</v>
      </c>
      <c r="Q52" s="69">
        <f>Q$43/(8^6)</f>
        <v>0.003814697265625</v>
      </c>
      <c r="R52" s="70" t="str">
        <f>IF(R51&gt;1.25,"n/a",$Q$40/Q52)</f>
        <v>n/a</v>
      </c>
      <c r="S52" s="69">
        <f>IF(R52="n/a","",6)</f>
      </c>
      <c r="V52" s="21"/>
    </row>
    <row r="53" spans="2:17" ht="12.75">
      <c r="B53" s="71" t="s">
        <v>107</v>
      </c>
      <c r="N53" s="21"/>
      <c r="P53" s="21" t="s">
        <v>125</v>
      </c>
      <c r="Q53" s="21">
        <f>MAX(R47:R52)</f>
        <v>3.584</v>
      </c>
    </row>
    <row r="54" spans="2:17" ht="12.75">
      <c r="B54" s="71" t="s">
        <v>108</v>
      </c>
      <c r="N54" s="21"/>
      <c r="P54" s="21" t="s">
        <v>16</v>
      </c>
      <c r="Q54" s="21">
        <f>MAX(S47:S52)</f>
        <v>3</v>
      </c>
    </row>
    <row r="55" spans="2:22" ht="12.75">
      <c r="B55" s="71" t="s">
        <v>109</v>
      </c>
      <c r="K55" s="21"/>
      <c r="L55" s="21"/>
      <c r="M55" s="21"/>
      <c r="N55" s="21"/>
      <c r="V55" s="21"/>
    </row>
    <row r="56" spans="2:17" ht="12.75">
      <c r="B56" s="71" t="s">
        <v>123</v>
      </c>
      <c r="K56" s="21"/>
      <c r="L56" s="21"/>
      <c r="M56" s="21"/>
      <c r="N56" s="21"/>
      <c r="O56" s="67" t="s">
        <v>18</v>
      </c>
      <c r="P56" s="67" t="s">
        <v>27</v>
      </c>
      <c r="Q56" s="67"/>
    </row>
    <row r="57" spans="2:22" ht="12.75">
      <c r="B57" s="71" t="s">
        <v>130</v>
      </c>
      <c r="K57" s="21"/>
      <c r="L57" s="21"/>
      <c r="M57" s="21"/>
      <c r="N57" s="21"/>
      <c r="P57" s="63" t="s">
        <v>10</v>
      </c>
      <c r="V57" s="21"/>
    </row>
    <row r="58" spans="9:19" ht="12.75">
      <c r="I58" s="25">
        <f>IF(MAX(I102:I112)&lt;&gt;MAX(L102:L112),"** WARNING, Price crossed frame boundary, program fails","")</f>
      </c>
      <c r="P58" s="72" t="s">
        <v>15</v>
      </c>
      <c r="Q58" s="69">
        <f>IF(AND(RangeMMI&gt;1.25,RangeMMI&lt;3),2,0)</f>
        <v>0</v>
      </c>
      <c r="S58" s="13" t="s">
        <v>37</v>
      </c>
    </row>
    <row r="59" spans="16:22" ht="12.75">
      <c r="P59" s="72" t="s">
        <v>13</v>
      </c>
      <c r="Q59" s="69">
        <f>IF(AND(RangeMMI&gt;=3,RangeMMI&lt;5),4,0)</f>
        <v>4</v>
      </c>
      <c r="S59" s="13" t="s">
        <v>36</v>
      </c>
      <c r="V59" s="21"/>
    </row>
    <row r="60" spans="2:19" ht="12.75">
      <c r="B60" s="21" t="s">
        <v>118</v>
      </c>
      <c r="C60" s="25"/>
      <c r="F60" s="25">
        <f>IF(B56&lt;25,"** WARNING, THIS PROGRAM DOES NOT SCALE DATA &lt; 25 - RESULTS INVALID!","")</f>
      </c>
      <c r="P60" s="69" t="s">
        <v>14</v>
      </c>
      <c r="Q60" s="69">
        <f>IF(RangeMMI&gt;=5,8,0)</f>
        <v>0</v>
      </c>
      <c r="S60" s="62" t="s">
        <v>35</v>
      </c>
    </row>
    <row r="61" spans="2:22" ht="12.75">
      <c r="B61" s="13" t="s">
        <v>119</v>
      </c>
      <c r="C61" s="25"/>
      <c r="D61" s="13">
        <f>IF(Q37&lt;Q38,1,"")</f>
      </c>
      <c r="V61" s="21"/>
    </row>
    <row r="62" spans="2:18" ht="12.75">
      <c r="B62" s="13" t="s">
        <v>120</v>
      </c>
      <c r="C62" s="25"/>
      <c r="D62" s="13">
        <f>IF(D4&lt;25,2,"")</f>
      </c>
      <c r="P62" s="13" t="s">
        <v>17</v>
      </c>
      <c r="Q62" s="21">
        <f>MAX(Q58:Q60)</f>
        <v>4</v>
      </c>
      <c r="R62" s="13" t="str">
        <f>CHOOSE(Q54,"MMML","mMML","bMML","bMML^1","bMML^2","bMML^3")&amp;"'s"</f>
        <v>bMML's</v>
      </c>
    </row>
    <row r="63" spans="2:28" ht="12.75">
      <c r="B63" s="13" t="s">
        <v>121</v>
      </c>
      <c r="D63" s="13">
        <f>IF(MAX(J41:J52)&lt;&gt;MAX(M41:M52),3,"")</f>
      </c>
      <c r="P63" s="13" t="s">
        <v>8</v>
      </c>
      <c r="Q63" s="21">
        <f>INDEX(Q47:Q52,OctaveCount)</f>
        <v>1.953125</v>
      </c>
      <c r="R63" s="73"/>
      <c r="V63" s="21"/>
      <c r="AB63" s="74"/>
    </row>
    <row r="64" spans="2:28" ht="12.75">
      <c r="B64" s="13" t="s">
        <v>124</v>
      </c>
      <c r="D64" s="13">
        <f>IF(OctaveCount&gt;3,4,"")</f>
      </c>
      <c r="AB64" s="74"/>
    </row>
    <row r="65" spans="2:28" ht="12.75">
      <c r="B65" s="13" t="s">
        <v>129</v>
      </c>
      <c r="D65" s="13">
        <f>IF(Q37&gt;T113,5,"")</f>
      </c>
      <c r="O65" s="67" t="s">
        <v>22</v>
      </c>
      <c r="P65" s="67" t="s">
        <v>23</v>
      </c>
      <c r="Q65" s="67"/>
      <c r="V65" s="21"/>
      <c r="AB65" s="74"/>
    </row>
    <row r="66" spans="16:28" ht="12.75">
      <c r="P66" s="13" t="s">
        <v>30</v>
      </c>
      <c r="AB66" s="74"/>
    </row>
    <row r="67" spans="2:28" ht="12.75">
      <c r="B67" s="21" t="s">
        <v>122</v>
      </c>
      <c r="D67" s="21">
        <f>IF(ISERR(D68),"",D68)</f>
      </c>
      <c r="P67" s="13" t="s">
        <v>82</v>
      </c>
      <c r="Q67" s="13">
        <f>mPriceLow-0</f>
        <v>1085</v>
      </c>
      <c r="R67" s="13">
        <f>INT(Q67/Octave1_MMML)</f>
        <v>8</v>
      </c>
      <c r="S67" s="75">
        <f>R67*Octave1_MMML</f>
        <v>1000</v>
      </c>
      <c r="V67" s="21"/>
      <c r="AB67" s="76"/>
    </row>
    <row r="68" spans="4:22" ht="12.75">
      <c r="D68" s="77" t="e">
        <f>INDEX(B53:B57,MIN(D61:D65))</f>
        <v>#VALUE!</v>
      </c>
      <c r="P68" s="13" t="s">
        <v>80</v>
      </c>
      <c r="Q68" s="75">
        <f>mPriceLow-S67</f>
        <v>85</v>
      </c>
      <c r="R68" s="13">
        <f>INT(Q68/Octave2_mMML)</f>
        <v>5</v>
      </c>
      <c r="S68" s="75">
        <f>S67+(R68*Octave2_mMML)</f>
        <v>1078.125</v>
      </c>
      <c r="V68" s="21"/>
    </row>
    <row r="69" spans="16:19" ht="12.75">
      <c r="P69" s="13" t="s">
        <v>81</v>
      </c>
      <c r="Q69" s="75">
        <f>mPriceLow-S68</f>
        <v>6.875</v>
      </c>
      <c r="R69" s="13">
        <f>INT(Q69/Octave3_bMML)</f>
        <v>3</v>
      </c>
      <c r="S69" s="75">
        <f>S68+(R69*Octave3_bMML)</f>
        <v>1083.984375</v>
      </c>
    </row>
    <row r="70" spans="16:19" ht="12.75">
      <c r="P70" s="13" t="s">
        <v>115</v>
      </c>
      <c r="Q70" s="75">
        <f>mPriceLow-S69</f>
        <v>1.015625</v>
      </c>
      <c r="R70" s="13">
        <f>INT(Q70/Q50)</f>
        <v>4</v>
      </c>
      <c r="S70" s="75">
        <f>S69+(R70*Q50)</f>
        <v>1084.9609375</v>
      </c>
    </row>
    <row r="71" spans="16:19" ht="12.75">
      <c r="P71" s="13" t="s">
        <v>116</v>
      </c>
      <c r="Q71" s="75">
        <f>mPriceLow-S70</f>
        <v>0.0390625</v>
      </c>
      <c r="R71" s="13">
        <f>INT(Q71/Q51)</f>
        <v>1</v>
      </c>
      <c r="S71" s="75">
        <f>S70+(R71*Q51)</f>
        <v>1084.991455078125</v>
      </c>
    </row>
    <row r="72" spans="16:19" ht="12.75">
      <c r="P72" s="13" t="s">
        <v>117</v>
      </c>
      <c r="Q72" s="75">
        <f>mPriceLow-S71</f>
        <v>0.008544921875</v>
      </c>
      <c r="R72" s="13">
        <f>INT(Q72/Q52)</f>
        <v>2</v>
      </c>
      <c r="S72" s="75">
        <f>S71+(R72*Q52)</f>
        <v>1084.9990844726562</v>
      </c>
    </row>
    <row r="73" spans="16:22" ht="12.75">
      <c r="P73" s="49" t="s">
        <v>44</v>
      </c>
      <c r="Q73" s="21">
        <f>MOD(INDEX(R67:R72,OctaveCount),8)</f>
        <v>3</v>
      </c>
      <c r="V73" s="21"/>
    </row>
    <row r="74" spans="16:20" ht="12.75">
      <c r="P74" s="49" t="s">
        <v>31</v>
      </c>
      <c r="Q74" s="21">
        <f>INDEX(S67:S72,OctaveCount)</f>
        <v>1083.984375</v>
      </c>
      <c r="R74" s="20" t="s">
        <v>34</v>
      </c>
      <c r="S74" s="20" t="str">
        <f>TEXT(Q73,0)&amp;"/8 th's"</f>
        <v>3/8 th's</v>
      </c>
      <c r="T74" s="13" t="str">
        <f>R62</f>
        <v>bMML's</v>
      </c>
    </row>
    <row r="75" ht="12.75">
      <c r="V75" s="21"/>
    </row>
    <row r="76" spans="16:22" ht="12.75">
      <c r="P76" s="21" t="s">
        <v>127</v>
      </c>
      <c r="Q76" s="21">
        <f>Q62*Q63</f>
        <v>7.8125</v>
      </c>
      <c r="V76" s="21"/>
    </row>
    <row r="77" ht="12.75">
      <c r="V77" s="21"/>
    </row>
    <row r="78" spans="16:22" ht="12.75">
      <c r="P78" s="13" t="s">
        <v>126</v>
      </c>
      <c r="V78" s="21"/>
    </row>
    <row r="79" ht="12.75">
      <c r="V79" s="21"/>
    </row>
    <row r="80" ht="12.75">
      <c r="V80" s="21"/>
    </row>
    <row r="81" ht="12.75">
      <c r="V81" s="21"/>
    </row>
    <row r="82" spans="15:16" ht="12.75">
      <c r="O82" s="67" t="s">
        <v>32</v>
      </c>
      <c r="P82" s="67" t="s">
        <v>33</v>
      </c>
    </row>
    <row r="83" ht="12.75">
      <c r="V83" s="21"/>
    </row>
    <row r="84" ht="12.75">
      <c r="P84" s="78" t="s">
        <v>43</v>
      </c>
    </row>
    <row r="85" spans="18:21" ht="12.75">
      <c r="R85" s="13" t="s">
        <v>38</v>
      </c>
      <c r="S85" s="13" t="s">
        <v>39</v>
      </c>
      <c r="T85" s="13" t="s">
        <v>40</v>
      </c>
      <c r="U85" s="79">
        <f>MIN(T86:T88)</f>
        <v>1.21875</v>
      </c>
    </row>
    <row r="86" spans="16:21" ht="12.75">
      <c r="P86" s="13" t="s">
        <v>41</v>
      </c>
      <c r="Q86" s="13">
        <f>Q87-1</f>
        <v>2</v>
      </c>
      <c r="R86" s="75">
        <f>R87-$Q$63</f>
        <v>1082.03125</v>
      </c>
      <c r="S86" s="75">
        <f>S87-$Q$63</f>
        <v>1089.84375</v>
      </c>
      <c r="T86" s="75">
        <f>ABS($Q$37-S86)+ABS($Q$38-R86)</f>
        <v>5.125</v>
      </c>
      <c r="U86" s="79">
        <f>IF(T86=$U$85,1,0)</f>
        <v>0</v>
      </c>
    </row>
    <row r="87" spans="17:21" ht="12.75">
      <c r="Q87" s="13">
        <f>Q73</f>
        <v>3</v>
      </c>
      <c r="R87" s="75">
        <f>Q74</f>
        <v>1083.984375</v>
      </c>
      <c r="S87" s="75">
        <f>R87+($Q$62*$Q$63)</f>
        <v>1091.796875</v>
      </c>
      <c r="T87" s="75">
        <f>ABS($Q$37-S87)+ABS($Q$38-R87)</f>
        <v>1.21875</v>
      </c>
      <c r="U87" s="79">
        <f>IF(T87=$U$85,2,0)</f>
        <v>2</v>
      </c>
    </row>
    <row r="88" spans="17:21" ht="12.75">
      <c r="Q88" s="13">
        <f>Q87+1</f>
        <v>4</v>
      </c>
      <c r="R88" s="75">
        <f>R87+$Q$63</f>
        <v>1085.9375</v>
      </c>
      <c r="S88" s="75">
        <f>S87+$Q$63</f>
        <v>1093.75</v>
      </c>
      <c r="T88" s="75">
        <f>ABS($Q$37-S88)+ABS($Q$38-R88)</f>
        <v>2.6875</v>
      </c>
      <c r="U88" s="79">
        <f>IF(T88=$U$85,3,0)</f>
        <v>0</v>
      </c>
    </row>
    <row r="89" spans="16:21" ht="12.75">
      <c r="P89" s="19" t="s">
        <v>106</v>
      </c>
      <c r="Q89" s="21" t="s">
        <v>58</v>
      </c>
      <c r="R89" s="80">
        <f>INDEX(R86:R88,$U89)</f>
        <v>1083.984375</v>
      </c>
      <c r="S89" s="80">
        <f>INDEX(S86:S88,$U89)</f>
        <v>1091.796875</v>
      </c>
      <c r="T89" s="21"/>
      <c r="U89" s="81">
        <f>MAX(U86:U88)</f>
        <v>2</v>
      </c>
    </row>
    <row r="91" ht="12.75">
      <c r="P91" s="77" t="s">
        <v>45</v>
      </c>
    </row>
    <row r="92" spans="18:21" ht="12.75">
      <c r="R92" s="13" t="s">
        <v>38</v>
      </c>
      <c r="S92" s="13" t="s">
        <v>39</v>
      </c>
      <c r="T92" s="13" t="s">
        <v>40</v>
      </c>
      <c r="U92" s="82">
        <f>MIN(T92:T97)</f>
        <v>2.6875</v>
      </c>
    </row>
    <row r="93" spans="17:21" ht="12.75">
      <c r="Q93" s="13">
        <v>0</v>
      </c>
      <c r="R93" s="75">
        <f>Q74-(Q73*Q63)</f>
        <v>1078.125</v>
      </c>
      <c r="S93" s="75">
        <f>R93+($Q$63*4)</f>
        <v>1085.9375</v>
      </c>
      <c r="T93" s="75">
        <f>ABS($Q$37-S93)+ABS($Q$38-R93)</f>
        <v>12.9375</v>
      </c>
      <c r="U93" s="82">
        <f>IF(T93=$U$92,1,0)</f>
        <v>0</v>
      </c>
    </row>
    <row r="94" spans="17:21" ht="12.75">
      <c r="Q94" s="13">
        <v>2</v>
      </c>
      <c r="R94" s="75">
        <f>$R$93+($Q$63*Q94)</f>
        <v>1082.03125</v>
      </c>
      <c r="S94" s="75">
        <f>R94+($Q$63*4)</f>
        <v>1089.84375</v>
      </c>
      <c r="T94" s="75">
        <f>ABS($Q$37-S94)+ABS($Q$38-R94)</f>
        <v>5.125</v>
      </c>
      <c r="U94" s="82">
        <f>IF(T94=$U$92,2,0)</f>
        <v>0</v>
      </c>
    </row>
    <row r="95" spans="17:21" ht="12.75">
      <c r="Q95" s="13">
        <v>4</v>
      </c>
      <c r="R95" s="75">
        <f>$R$93+($Q$63*Q95)</f>
        <v>1085.9375</v>
      </c>
      <c r="S95" s="75">
        <f>R95+($Q$63*4)</f>
        <v>1093.75</v>
      </c>
      <c r="T95" s="75">
        <f>ABS($Q$37-S95)+ABS($Q$38-R95)</f>
        <v>2.6875</v>
      </c>
      <c r="U95" s="82">
        <f>IF(T95=$U$92,3,0)</f>
        <v>3</v>
      </c>
    </row>
    <row r="96" spans="17:21" ht="12.75">
      <c r="Q96" s="13">
        <v>6</v>
      </c>
      <c r="R96" s="75">
        <f>$R$93+($Q$63*Q96)</f>
        <v>1089.84375</v>
      </c>
      <c r="S96" s="75">
        <f>R96+($Q$63*4)</f>
        <v>1097.65625</v>
      </c>
      <c r="T96" s="75">
        <f>ABS($Q$37-S96)+ABS($Q$38-R96)</f>
        <v>10.5</v>
      </c>
      <c r="U96" s="82">
        <f>IF(T96=$U$92,4,0)</f>
        <v>0</v>
      </c>
    </row>
    <row r="97" spans="17:21" ht="12.75">
      <c r="Q97" s="13">
        <v>0</v>
      </c>
      <c r="R97" s="75">
        <f>$R$93+($Q$63*Q97)</f>
        <v>1078.125</v>
      </c>
      <c r="S97" s="75">
        <f>R97+($Q$63*4)</f>
        <v>1085.9375</v>
      </c>
      <c r="T97" s="75">
        <f>ABS($Q$37-S97)+ABS($Q$38-R97)</f>
        <v>12.9375</v>
      </c>
      <c r="U97" s="82">
        <f>IF(T97=$U$92,5,0)</f>
        <v>0</v>
      </c>
    </row>
    <row r="98" spans="16:21" ht="12.75">
      <c r="P98" s="19" t="s">
        <v>106</v>
      </c>
      <c r="Q98" s="21" t="s">
        <v>59</v>
      </c>
      <c r="R98" s="80">
        <f>INDEX(R93:R97,$U98)</f>
        <v>1085.9375</v>
      </c>
      <c r="S98" s="80">
        <f>INDEX(S93:S97,$U98)</f>
        <v>1093.75</v>
      </c>
      <c r="T98" s="21"/>
      <c r="U98" s="83">
        <f>MAX(U93:U97)</f>
        <v>3</v>
      </c>
    </row>
    <row r="100" ht="12.75">
      <c r="P100" s="77" t="s">
        <v>42</v>
      </c>
    </row>
    <row r="101" spans="18:21" ht="12.75">
      <c r="R101" s="13" t="s">
        <v>38</v>
      </c>
      <c r="S101" s="13" t="s">
        <v>39</v>
      </c>
      <c r="T101" s="13" t="s">
        <v>40</v>
      </c>
      <c r="U101" s="82">
        <f>MIN(T102:T104)</f>
        <v>2.6875</v>
      </c>
    </row>
    <row r="102" spans="16:21" ht="12.75">
      <c r="P102" s="13" t="s">
        <v>41</v>
      </c>
      <c r="Q102" s="13">
        <v>0</v>
      </c>
      <c r="R102" s="75">
        <f>Q74-(Q73*Q63)</f>
        <v>1078.125</v>
      </c>
      <c r="S102" s="75">
        <f>R102+($Q$62*$Q$63)</f>
        <v>1085.9375</v>
      </c>
      <c r="T102" s="75">
        <f>ABS($Q$37-S102)+ABS($Q$38-R102)</f>
        <v>12.9375</v>
      </c>
      <c r="U102" s="82">
        <f>IF(T102=$U$101,1,0)</f>
        <v>0</v>
      </c>
    </row>
    <row r="103" spans="17:21" ht="12.75">
      <c r="Q103" s="13">
        <v>4</v>
      </c>
      <c r="R103" s="75">
        <f>R102+(Q63*4)</f>
        <v>1085.9375</v>
      </c>
      <c r="S103" s="75">
        <f>R103+($Q$62*$Q$63)</f>
        <v>1093.75</v>
      </c>
      <c r="T103" s="75">
        <f>ABS($Q$37-S103)+ABS($Q$38-R103)</f>
        <v>2.6875</v>
      </c>
      <c r="U103" s="82">
        <f>IF(T103=$U$101,2,0)</f>
        <v>2</v>
      </c>
    </row>
    <row r="104" spans="17:21" ht="12.75">
      <c r="Q104" s="13">
        <v>0</v>
      </c>
      <c r="R104" s="75">
        <f>R102+(Q63*8)</f>
        <v>1093.75</v>
      </c>
      <c r="S104" s="75">
        <f>R104+($Q$62*$Q$63)</f>
        <v>1101.5625</v>
      </c>
      <c r="T104" s="75">
        <f>ABS($Q$37-S104)+ABS($Q$38-R104)</f>
        <v>18.3125</v>
      </c>
      <c r="U104" s="82">
        <f>IF(T104=$U$101,3,0)</f>
        <v>0</v>
      </c>
    </row>
    <row r="105" spans="16:21" ht="12.75">
      <c r="P105" s="19" t="s">
        <v>106</v>
      </c>
      <c r="Q105" s="21" t="s">
        <v>60</v>
      </c>
      <c r="R105" s="80">
        <f>INDEX(R102:R104,$U105)</f>
        <v>1085.9375</v>
      </c>
      <c r="S105" s="80">
        <f>INDEX(S102:S104,$U105)</f>
        <v>1093.75</v>
      </c>
      <c r="T105" s="21"/>
      <c r="U105" s="83">
        <f>MAX(U102:U104)</f>
        <v>2</v>
      </c>
    </row>
    <row r="107" spans="16:20" ht="12.75">
      <c r="P107" s="21" t="s">
        <v>46</v>
      </c>
      <c r="Q107" s="77" t="s">
        <v>131</v>
      </c>
      <c r="R107" s="66" t="s">
        <v>38</v>
      </c>
      <c r="S107" s="66" t="s">
        <v>39</v>
      </c>
      <c r="T107" s="84" t="s">
        <v>135</v>
      </c>
    </row>
    <row r="108" spans="16:20" ht="12.75">
      <c r="P108" s="49" t="s">
        <v>47</v>
      </c>
      <c r="Q108" s="19">
        <f>Q62</f>
        <v>4</v>
      </c>
      <c r="R108" s="13">
        <f>IF($Q$62=2,R89,IF($Q$62=4,R98,R105))</f>
        <v>1085.9375</v>
      </c>
      <c r="S108" s="13">
        <f>IF($Q$62=2,S89,IF($Q$62=4,S98,S105))</f>
        <v>1093.75</v>
      </c>
      <c r="T108" s="13">
        <f>S108+(2*R109)</f>
        <v>1095.703125</v>
      </c>
    </row>
    <row r="109" spans="16:19" ht="12.75">
      <c r="P109" s="49" t="s">
        <v>48</v>
      </c>
      <c r="R109" s="75">
        <f>(S108-R108)/8</f>
        <v>0.9765625</v>
      </c>
      <c r="S109" s="75"/>
    </row>
    <row r="111" ht="12.75">
      <c r="P111" s="21" t="s">
        <v>132</v>
      </c>
    </row>
    <row r="112" spans="16:20" ht="12.75">
      <c r="P112" s="49" t="s">
        <v>133</v>
      </c>
      <c r="Q112" s="77" t="s">
        <v>131</v>
      </c>
      <c r="R112" s="17" t="str">
        <f>IF(Q37&gt;T108,"Yes","No")</f>
        <v>No</v>
      </c>
      <c r="T112" s="84" t="s">
        <v>135</v>
      </c>
    </row>
    <row r="113" spans="16:20" ht="12.75">
      <c r="P113" s="13" t="s">
        <v>134</v>
      </c>
      <c r="Q113" s="13">
        <f>IF(R112="Yes",4,Q108)</f>
        <v>4</v>
      </c>
      <c r="R113" s="75">
        <f>IF($Q$113=2,R89,IF($Q$113=4,R98,R105))</f>
        <v>1085.9375</v>
      </c>
      <c r="S113" s="75">
        <f>IF($Q$113=2,S89,IF($Q$113=4,S98,S105))</f>
        <v>1093.75</v>
      </c>
      <c r="T113" s="13">
        <f>S113+(2*R114)</f>
        <v>1095.703125</v>
      </c>
    </row>
    <row r="114" ht="12.75">
      <c r="R114" s="75">
        <f>(S113-R113)/8</f>
        <v>0.9765625</v>
      </c>
    </row>
    <row r="116" ht="12.75">
      <c r="Q116" s="13">
        <f>Q37</f>
        <v>1092</v>
      </c>
    </row>
    <row r="117" spans="17:18" ht="12.75">
      <c r="Q117" s="77"/>
      <c r="R117" s="17"/>
    </row>
    <row r="119" ht="12.75">
      <c r="R119" s="75"/>
    </row>
    <row r="130" spans="5:7" ht="12.75">
      <c r="E130" s="48">
        <f>INT($D22/G$8)*G$8+INT(E22)*(G$8/8)</f>
        <v>1083.984375</v>
      </c>
      <c r="F130" s="48">
        <f>IF(AND(F22&lt;&gt;"",MAX(G10:G22))=0,TEXT(INT(E22),0)&amp;" = "&amp;TEXT(E130,0),"")</f>
      </c>
      <c r="G130" s="13">
        <f>IF(ISERR(F130),"",F130)</f>
      </c>
    </row>
  </sheetData>
  <printOptions gridLines="1"/>
  <pageMargins left="0.75" right="0.75" top="1" bottom="1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1"/>
  <sheetViews>
    <sheetView workbookViewId="0" topLeftCell="A1">
      <selection activeCell="E13" sqref="E13"/>
    </sheetView>
  </sheetViews>
  <sheetFormatPr defaultColWidth="11.421875" defaultRowHeight="12.75"/>
  <cols>
    <col min="1" max="16384" width="9.140625" style="0" customWidth="1"/>
  </cols>
  <sheetData>
    <row r="2" ht="12.75">
      <c r="H2" t="s">
        <v>96</v>
      </c>
    </row>
    <row r="3" spans="2:8" ht="15">
      <c r="B3" s="9" t="s">
        <v>83</v>
      </c>
      <c r="H3">
        <v>100000</v>
      </c>
    </row>
    <row r="4" ht="12.75">
      <c r="H4">
        <v>10000</v>
      </c>
    </row>
    <row r="5" spans="2:8" ht="12.75">
      <c r="B5" t="s">
        <v>91</v>
      </c>
      <c r="H5">
        <v>1000</v>
      </c>
    </row>
    <row r="6" spans="3:8" ht="12.75">
      <c r="C6" t="s">
        <v>92</v>
      </c>
      <c r="H6">
        <v>100</v>
      </c>
    </row>
    <row r="8" ht="15">
      <c r="B8" s="9" t="s">
        <v>105</v>
      </c>
    </row>
    <row r="10" spans="2:3" ht="12.75">
      <c r="B10" t="s">
        <v>87</v>
      </c>
      <c r="C10" s="2" t="s">
        <v>88</v>
      </c>
    </row>
    <row r="11" spans="2:3" ht="12.75">
      <c r="B11" t="s">
        <v>89</v>
      </c>
      <c r="C11" s="2" t="s">
        <v>90</v>
      </c>
    </row>
    <row r="15" spans="2:9" ht="12.75">
      <c r="B15" s="1" t="s">
        <v>84</v>
      </c>
      <c r="C15" s="3" t="s">
        <v>85</v>
      </c>
      <c r="D15" s="3" t="s">
        <v>86</v>
      </c>
      <c r="E15" s="4" t="s">
        <v>93</v>
      </c>
      <c r="F15" s="12" t="s">
        <v>94</v>
      </c>
      <c r="G15" s="12"/>
      <c r="H15" s="12" t="s">
        <v>95</v>
      </c>
      <c r="I15" s="12"/>
    </row>
    <row r="16" spans="3:9" ht="12.75">
      <c r="C16" s="3">
        <v>433</v>
      </c>
      <c r="D16" s="3">
        <v>1000</v>
      </c>
      <c r="E16" s="3">
        <f>((C16/D16)-INT(C16/D16))*8</f>
        <v>3.464</v>
      </c>
      <c r="F16" s="5" t="str">
        <f>TEXT(INT(E16),0)&amp;" = "</f>
        <v>3 = </v>
      </c>
      <c r="G16" s="6">
        <f>INT(C16/D16)*D16+INT(E16)*(D16/8)</f>
        <v>375</v>
      </c>
      <c r="H16" s="5" t="str">
        <f>TEXT(INT(E16)+1,0)&amp;" = "</f>
        <v>4 = </v>
      </c>
      <c r="I16" s="6">
        <f>INT(C16/D16)*D16+(INT(E16)+1)*(D16/8)</f>
        <v>500</v>
      </c>
    </row>
    <row r="17" spans="3:9" ht="12.75">
      <c r="C17" s="3">
        <v>800</v>
      </c>
      <c r="D17" s="3">
        <v>1000</v>
      </c>
      <c r="E17" s="3">
        <f>((C17/D17)-INT(C17/D17))*8</f>
        <v>6.4</v>
      </c>
      <c r="F17" s="5" t="str">
        <f>TEXT(INT(E17),0)&amp;" = "</f>
        <v>6 = </v>
      </c>
      <c r="G17" s="6">
        <f>INT(C17/D17)*D17+INT(E17)*(D17/8)</f>
        <v>750</v>
      </c>
      <c r="H17" s="5" t="str">
        <f>TEXT(INT(E17)+1,0)&amp;" = "</f>
        <v>7 = </v>
      </c>
      <c r="I17" s="6">
        <f>INT(C17/D17)*D17+(INT(E17)+1)*(D17/8)</f>
        <v>875</v>
      </c>
    </row>
    <row r="18" spans="3:9" ht="12.75">
      <c r="C18" s="3">
        <v>3249</v>
      </c>
      <c r="D18" s="3">
        <v>1000</v>
      </c>
      <c r="E18" s="3">
        <f>((C18/D18)-INT(C18/D18))*8</f>
        <v>1.9920000000000009</v>
      </c>
      <c r="F18" s="5" t="str">
        <f>TEXT(INT(E18),0)&amp;" = "</f>
        <v>1 = </v>
      </c>
      <c r="G18" s="6">
        <f>INT(C18/D18)*D18+INT(E18)*(D18/8)</f>
        <v>3125</v>
      </c>
      <c r="H18" s="5" t="str">
        <f>TEXT(INT(E18)+1,0)&amp;" = "</f>
        <v>2 = </v>
      </c>
      <c r="I18" s="6">
        <f>INT(C18/D18)*D18+(INT(E18)+1)*(D18/8)</f>
        <v>3250</v>
      </c>
    </row>
    <row r="19" spans="3:9" ht="12.75">
      <c r="C19" s="3">
        <v>3251</v>
      </c>
      <c r="D19" s="3">
        <v>1000</v>
      </c>
      <c r="E19" s="3">
        <f>((C19/D19)-INT(C19/D19))*8</f>
        <v>2.007999999999999</v>
      </c>
      <c r="F19" s="5" t="str">
        <f>TEXT(INT(E19),0)&amp;" = "</f>
        <v>2 = </v>
      </c>
      <c r="G19" s="6">
        <f>INT(C19/D19)*D19+INT(E19)*(D19/8)</f>
        <v>3250</v>
      </c>
      <c r="H19" s="5" t="str">
        <f>TEXT(INT(E19)+1,0)&amp;" = "</f>
        <v>3 = </v>
      </c>
      <c r="I19" s="6">
        <f>INT(C19/D19)*D19+(INT(E19)+1)*(D19/8)</f>
        <v>3375</v>
      </c>
    </row>
    <row r="20" spans="3:9" ht="12.75">
      <c r="C20" s="3">
        <v>11333</v>
      </c>
      <c r="D20" s="3">
        <v>10000</v>
      </c>
      <c r="E20" s="3">
        <f>((C20/D20)-INT(C20/D20))*8</f>
        <v>1.0663999999999998</v>
      </c>
      <c r="F20" s="5" t="str">
        <f>TEXT(INT(E20),0)&amp;" = "</f>
        <v>1 = </v>
      </c>
      <c r="G20" s="6">
        <f>INT(C20/D20)*D20+INT(E20)*(D20/8)</f>
        <v>11250</v>
      </c>
      <c r="H20" s="5" t="str">
        <f>TEXT(INT(E20)+1,0)&amp;" = "</f>
        <v>2 = </v>
      </c>
      <c r="I20" s="6">
        <f>INT(C20/D20)*D20+(INT(E20)+1)*(D20/8)</f>
        <v>12500</v>
      </c>
    </row>
    <row r="21" spans="3:9" ht="12.75">
      <c r="C21" s="3"/>
      <c r="D21" s="3"/>
      <c r="E21" s="3"/>
      <c r="F21" s="5"/>
      <c r="G21" s="6"/>
      <c r="H21" s="5"/>
      <c r="I21" s="6"/>
    </row>
    <row r="22" spans="1:9" ht="12.75">
      <c r="A22" s="2" t="s">
        <v>97</v>
      </c>
      <c r="B22" s="2" t="s">
        <v>97</v>
      </c>
      <c r="C22" s="2" t="s">
        <v>97</v>
      </c>
      <c r="D22" s="2" t="s">
        <v>97</v>
      </c>
      <c r="E22" s="2" t="s">
        <v>97</v>
      </c>
      <c r="F22" s="2" t="s">
        <v>97</v>
      </c>
      <c r="G22" s="2" t="s">
        <v>97</v>
      </c>
      <c r="H22" s="2" t="s">
        <v>97</v>
      </c>
      <c r="I22" s="2" t="s">
        <v>97</v>
      </c>
    </row>
    <row r="23" spans="3:9" ht="12.75">
      <c r="C23" s="3"/>
      <c r="D23" s="3"/>
      <c r="E23" s="3"/>
      <c r="F23" s="5"/>
      <c r="G23" s="6"/>
      <c r="H23" s="5"/>
      <c r="I23" s="6"/>
    </row>
    <row r="24" spans="2:9" ht="15">
      <c r="B24" s="9" t="s">
        <v>104</v>
      </c>
      <c r="C24" s="3"/>
      <c r="D24" s="3"/>
      <c r="E24" s="3"/>
      <c r="F24" s="5"/>
      <c r="G24" s="6"/>
      <c r="H24" s="5"/>
      <c r="I24" s="6"/>
    </row>
    <row r="25" spans="3:9" ht="12.75">
      <c r="C25" s="3"/>
      <c r="D25" s="3"/>
      <c r="E25" s="3"/>
      <c r="F25" s="5"/>
      <c r="G25" s="6"/>
      <c r="H25" s="5"/>
      <c r="I25" s="6"/>
    </row>
    <row r="26" spans="2:9" ht="12.75">
      <c r="B26" t="s">
        <v>98</v>
      </c>
      <c r="C26" s="3"/>
      <c r="D26" s="3"/>
      <c r="E26" s="3"/>
      <c r="F26" s="5"/>
      <c r="G26" s="6"/>
      <c r="H26" s="5"/>
      <c r="I26" s="6"/>
    </row>
    <row r="27" spans="2:9" ht="12.75">
      <c r="B27" t="s">
        <v>99</v>
      </c>
      <c r="C27" s="7">
        <v>1298.06</v>
      </c>
      <c r="D27" s="3"/>
      <c r="E27" s="3"/>
      <c r="F27" s="5"/>
      <c r="G27" s="6"/>
      <c r="H27" s="5"/>
      <c r="I27" s="6"/>
    </row>
    <row r="28" spans="2:3" ht="12.75">
      <c r="B28" t="s">
        <v>100</v>
      </c>
      <c r="C28" s="7">
        <v>1342.47</v>
      </c>
    </row>
    <row r="29" spans="2:3" ht="12.75">
      <c r="B29" t="s">
        <v>101</v>
      </c>
      <c r="C29" s="7">
        <v>1298.06</v>
      </c>
    </row>
    <row r="30" spans="2:3" ht="12.75">
      <c r="B30" t="s">
        <v>102</v>
      </c>
      <c r="C30" s="7">
        <v>1342.43</v>
      </c>
    </row>
    <row r="31" spans="2:3" ht="12.75">
      <c r="B31" s="1" t="s">
        <v>103</v>
      </c>
      <c r="C31" s="8">
        <f>AVERAGE(C30,C27)</f>
        <v>1320.245</v>
      </c>
    </row>
  </sheetData>
  <mergeCells count="2">
    <mergeCell ref="F15:G15"/>
    <mergeCell ref="H15:I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MurreyMathCalculator, Version 1.3  (Dec 1999)</dc:title>
  <dc:subject/>
  <dc:creator/>
  <cp:keywords/>
  <dc:description/>
  <cp:lastModifiedBy>Georg Mayer</cp:lastModifiedBy>
  <cp:lastPrinted>1999-11-03T05:03:38Z</cp:lastPrinted>
  <dcterms:created xsi:type="dcterms:W3CDTF">1999-11-02T18:51:09Z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